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Inghaab\Desktop\Ingvar Midlertig dokumenter\Styresaker\Styresaker 230518\"/>
    </mc:Choice>
  </mc:AlternateContent>
  <bookViews>
    <workbookView xWindow="5664" yWindow="48" windowWidth="11448" windowHeight="9708" activeTab="2"/>
  </bookViews>
  <sheets>
    <sheet name="Samleark" sheetId="4" r:id="rId1"/>
    <sheet name="Kortversjon" sheetId="6" r:id="rId2"/>
    <sheet name="Mellomregninger" sheetId="5" r:id="rId3"/>
  </sheets>
  <externalReferences>
    <externalReference r:id="rId4"/>
    <externalReference r:id="rId5"/>
  </externalReferences>
  <definedNames>
    <definedName name="bmkCustomer" localSheetId="1">Kortversjon!#REF!</definedName>
    <definedName name="bmkCustomer" localSheetId="2">Mellomregninger!#REF!</definedName>
    <definedName name="bmkCustomer" localSheetId="0">Samleark!#REF!</definedName>
    <definedName name="bmkProjektnr1" localSheetId="1">Kortversjon!#REF!</definedName>
    <definedName name="bmkProjektnr1" localSheetId="2">Mellomregninger!#REF!</definedName>
    <definedName name="bmkProjektnr1" localSheetId="0">Samleark!#REF!</definedName>
  </definedNames>
  <calcPr calcId="152511"/>
</workbook>
</file>

<file path=xl/calcChain.xml><?xml version="1.0" encoding="utf-8"?>
<calcChain xmlns="http://schemas.openxmlformats.org/spreadsheetml/2006/main">
  <c r="A4" i="6" l="1"/>
  <c r="S23" i="4" l="1"/>
  <c r="Y19" i="4" l="1"/>
  <c r="T24" i="4"/>
  <c r="S24" i="4"/>
  <c r="X24" i="4" s="1"/>
  <c r="T23" i="4" l="1"/>
  <c r="X23" i="4" l="1"/>
  <c r="A27" i="6" l="1"/>
  <c r="X8" i="4" l="1"/>
  <c r="Y8" i="4" s="1"/>
  <c r="X9" i="4"/>
  <c r="Y9" i="4" s="1"/>
  <c r="X10" i="4"/>
  <c r="Y10" i="4" s="1"/>
  <c r="X11" i="4"/>
  <c r="Y11" i="4" s="1"/>
  <c r="X7" i="4"/>
  <c r="Y7" i="4" s="1"/>
  <c r="R12" i="4"/>
  <c r="X12" i="4" s="1"/>
  <c r="Y12" i="4" l="1"/>
  <c r="D4" i="6"/>
  <c r="G4" i="6"/>
  <c r="X4" i="6"/>
  <c r="Y4" i="6"/>
  <c r="Z4" i="6"/>
  <c r="AA4" i="6"/>
  <c r="AB4" i="6"/>
  <c r="AC4" i="6"/>
  <c r="AD4" i="6"/>
  <c r="AE4" i="6"/>
  <c r="AF4" i="6"/>
  <c r="AG4" i="6"/>
  <c r="AH4" i="6"/>
  <c r="AI4" i="6"/>
  <c r="AJ4" i="6"/>
  <c r="AK4" i="6"/>
  <c r="AL4" i="6"/>
  <c r="E5" i="6"/>
  <c r="F5" i="6" s="1"/>
  <c r="D5" i="6"/>
  <c r="G5" i="6"/>
  <c r="X5" i="6"/>
  <c r="Y5" i="6"/>
  <c r="Z5" i="6"/>
  <c r="AA5" i="6"/>
  <c r="AB5" i="6"/>
  <c r="AC5" i="6"/>
  <c r="AD5" i="6"/>
  <c r="AE5" i="6"/>
  <c r="AF5" i="6"/>
  <c r="AG5" i="6"/>
  <c r="AH5" i="6"/>
  <c r="AI5" i="6"/>
  <c r="AJ5" i="6"/>
  <c r="AK5" i="6"/>
  <c r="AL5" i="6"/>
  <c r="E6" i="6"/>
  <c r="F6" i="6" s="1"/>
  <c r="D6" i="6"/>
  <c r="G6" i="6"/>
  <c r="X6" i="6"/>
  <c r="Y6" i="6"/>
  <c r="Z6" i="6"/>
  <c r="AA6" i="6"/>
  <c r="AB6" i="6"/>
  <c r="AC6" i="6"/>
  <c r="AD6" i="6"/>
  <c r="AE6" i="6"/>
  <c r="AF6" i="6"/>
  <c r="AG6" i="6"/>
  <c r="AH6" i="6"/>
  <c r="AI6" i="6"/>
  <c r="AJ6" i="6"/>
  <c r="AK6" i="6"/>
  <c r="AL6" i="6"/>
  <c r="E7" i="6"/>
  <c r="F7" i="6" s="1"/>
  <c r="D7" i="6"/>
  <c r="G7" i="6"/>
  <c r="X7" i="6"/>
  <c r="Y7" i="6"/>
  <c r="Z7" i="6"/>
  <c r="AA7" i="6"/>
  <c r="AB7" i="6"/>
  <c r="AC7" i="6"/>
  <c r="AD7" i="6"/>
  <c r="AE7" i="6"/>
  <c r="AF7" i="6"/>
  <c r="AG7" i="6"/>
  <c r="AH7" i="6"/>
  <c r="AI7" i="6"/>
  <c r="AJ7" i="6"/>
  <c r="AK7" i="6"/>
  <c r="AL7" i="6"/>
  <c r="E8" i="6"/>
  <c r="F8" i="6" s="1"/>
  <c r="D8" i="6"/>
  <c r="G8" i="6"/>
  <c r="X8" i="6"/>
  <c r="Y8" i="6"/>
  <c r="Z8" i="6"/>
  <c r="AA8" i="6"/>
  <c r="AB8" i="6"/>
  <c r="AC8" i="6"/>
  <c r="AD8" i="6"/>
  <c r="AE8" i="6"/>
  <c r="AF8" i="6"/>
  <c r="AG8" i="6"/>
  <c r="AH8" i="6"/>
  <c r="AI8" i="6"/>
  <c r="AJ8" i="6"/>
  <c r="AK8" i="6"/>
  <c r="AL8" i="6"/>
  <c r="E9" i="6"/>
  <c r="F9" i="6" s="1"/>
  <c r="D9" i="6"/>
  <c r="G9" i="6"/>
  <c r="X9" i="6"/>
  <c r="Y9" i="6"/>
  <c r="Z9" i="6"/>
  <c r="AA9" i="6"/>
  <c r="AB9" i="6"/>
  <c r="AC9" i="6"/>
  <c r="AD9" i="6"/>
  <c r="AE9" i="6"/>
  <c r="AF9" i="6"/>
  <c r="AG9" i="6"/>
  <c r="AH9" i="6"/>
  <c r="AI9" i="6"/>
  <c r="AJ9" i="6"/>
  <c r="AK9" i="6"/>
  <c r="AL9" i="6"/>
  <c r="E10" i="6"/>
  <c r="F10" i="6" s="1"/>
  <c r="G10" i="6"/>
  <c r="X10" i="6"/>
  <c r="Y10" i="6"/>
  <c r="Z10" i="6"/>
  <c r="AA10" i="6"/>
  <c r="AB10" i="6"/>
  <c r="AC10" i="6"/>
  <c r="AD10" i="6"/>
  <c r="AE10" i="6"/>
  <c r="AF10" i="6"/>
  <c r="AG10" i="6"/>
  <c r="AH10" i="6"/>
  <c r="AI10" i="6"/>
  <c r="AJ10" i="6"/>
  <c r="AK10" i="6"/>
  <c r="AL10" i="6"/>
  <c r="E11" i="6"/>
  <c r="F11" i="6" s="1"/>
  <c r="D11" i="6"/>
  <c r="G11" i="6"/>
  <c r="X11" i="6"/>
  <c r="Y11" i="6"/>
  <c r="Z11" i="6"/>
  <c r="AA11" i="6"/>
  <c r="AB11" i="6"/>
  <c r="AC11" i="6"/>
  <c r="AD11" i="6"/>
  <c r="AE11" i="6"/>
  <c r="AF11" i="6"/>
  <c r="AG11" i="6"/>
  <c r="AH11" i="6"/>
  <c r="AI11" i="6"/>
  <c r="AJ11" i="6"/>
  <c r="AK11" i="6"/>
  <c r="AL11" i="6"/>
  <c r="E12" i="6"/>
  <c r="F12" i="6" s="1"/>
  <c r="D12" i="6"/>
  <c r="G12" i="6"/>
  <c r="X12" i="6"/>
  <c r="Y12" i="6"/>
  <c r="Z12" i="6"/>
  <c r="AA12" i="6"/>
  <c r="AB12" i="6"/>
  <c r="AC12" i="6"/>
  <c r="AD12" i="6"/>
  <c r="AE12" i="6"/>
  <c r="AF12" i="6"/>
  <c r="AG12" i="6"/>
  <c r="AH12" i="6"/>
  <c r="AI12" i="6"/>
  <c r="AJ12" i="6"/>
  <c r="AK12" i="6"/>
  <c r="AL12" i="6"/>
  <c r="E13" i="6"/>
  <c r="F13" i="6" s="1"/>
  <c r="D13" i="6"/>
  <c r="G13" i="6"/>
  <c r="X13" i="6"/>
  <c r="Y13" i="6"/>
  <c r="Z13" i="6"/>
  <c r="AA13" i="6"/>
  <c r="AB13" i="6"/>
  <c r="AC13" i="6"/>
  <c r="AD13" i="6"/>
  <c r="AE13" i="6"/>
  <c r="AF13" i="6"/>
  <c r="AG13" i="6"/>
  <c r="AH13" i="6"/>
  <c r="AI13" i="6"/>
  <c r="AJ13" i="6"/>
  <c r="AK13" i="6"/>
  <c r="AL13" i="6"/>
  <c r="E14" i="6"/>
  <c r="F14" i="6" s="1"/>
  <c r="D14" i="6"/>
  <c r="G14" i="6"/>
  <c r="X14" i="6"/>
  <c r="Y14" i="6"/>
  <c r="Z14" i="6"/>
  <c r="AA14" i="6"/>
  <c r="AB14" i="6"/>
  <c r="AC14" i="6"/>
  <c r="AD14" i="6"/>
  <c r="AE14" i="6"/>
  <c r="AF14" i="6"/>
  <c r="AG14" i="6"/>
  <c r="AH14" i="6"/>
  <c r="AI14" i="6"/>
  <c r="AJ14" i="6"/>
  <c r="AK14" i="6"/>
  <c r="AL14" i="6"/>
  <c r="E15" i="6"/>
  <c r="F15" i="6" s="1"/>
  <c r="D15" i="6"/>
  <c r="G15" i="6"/>
  <c r="X15" i="6"/>
  <c r="Y15" i="6"/>
  <c r="Z15" i="6"/>
  <c r="AA15" i="6"/>
  <c r="AB15" i="6"/>
  <c r="AC15" i="6"/>
  <c r="AD15" i="6"/>
  <c r="AE15" i="6"/>
  <c r="AF15" i="6"/>
  <c r="AG15" i="6"/>
  <c r="AH15" i="6"/>
  <c r="AI15" i="6"/>
  <c r="AJ15" i="6"/>
  <c r="AK15" i="6"/>
  <c r="AL15" i="6"/>
  <c r="E17" i="6"/>
  <c r="D17" i="6"/>
  <c r="G17" i="6"/>
  <c r="X17" i="6"/>
  <c r="Y17" i="6"/>
  <c r="Z17" i="6"/>
  <c r="AA17" i="6"/>
  <c r="AB17" i="6"/>
  <c r="AC17" i="6"/>
  <c r="AD17" i="6"/>
  <c r="AE17" i="6"/>
  <c r="AF17" i="6"/>
  <c r="AG17" i="6"/>
  <c r="AH17" i="6"/>
  <c r="AI17" i="6"/>
  <c r="AJ17" i="6"/>
  <c r="AK17" i="6"/>
  <c r="AL17" i="6"/>
  <c r="E18" i="6"/>
  <c r="F18" i="6" s="1"/>
  <c r="D18" i="6"/>
  <c r="G18" i="6"/>
  <c r="X18" i="6"/>
  <c r="Y18" i="6"/>
  <c r="Z18" i="6"/>
  <c r="AA18" i="6"/>
  <c r="AB18" i="6"/>
  <c r="AC18" i="6"/>
  <c r="AD18" i="6"/>
  <c r="AE18" i="6"/>
  <c r="AF18" i="6"/>
  <c r="AG18" i="6"/>
  <c r="AH18" i="6"/>
  <c r="AI18" i="6"/>
  <c r="AJ18" i="6"/>
  <c r="AK18" i="6"/>
  <c r="AL18" i="6"/>
  <c r="G20" i="6"/>
  <c r="X20" i="6"/>
  <c r="Y20" i="6"/>
  <c r="Z20" i="6"/>
  <c r="AA20" i="6"/>
  <c r="AB20" i="6"/>
  <c r="AC20" i="6"/>
  <c r="AD20" i="6"/>
  <c r="AE20" i="6"/>
  <c r="AF20" i="6"/>
  <c r="AG20" i="6"/>
  <c r="AH20" i="6"/>
  <c r="AI20" i="6"/>
  <c r="AJ20" i="6"/>
  <c r="AK20" i="6"/>
  <c r="AL20" i="6"/>
  <c r="E21" i="6"/>
  <c r="D21" i="6"/>
  <c r="G21" i="6"/>
  <c r="X21" i="6"/>
  <c r="Y21" i="6"/>
  <c r="Z21" i="6"/>
  <c r="AA21" i="6"/>
  <c r="AB21" i="6"/>
  <c r="AC21" i="6"/>
  <c r="AD21" i="6"/>
  <c r="AE21" i="6"/>
  <c r="AF21" i="6"/>
  <c r="AG21" i="6"/>
  <c r="AH21" i="6"/>
  <c r="AI21" i="6"/>
  <c r="AJ21" i="6"/>
  <c r="AK21" i="6"/>
  <c r="AL21" i="6"/>
  <c r="G23" i="6"/>
  <c r="X23" i="6"/>
  <c r="Y23" i="6"/>
  <c r="Z23" i="6"/>
  <c r="AA23" i="6"/>
  <c r="AB23" i="6"/>
  <c r="AC23" i="6"/>
  <c r="AD23" i="6"/>
  <c r="AE23" i="6"/>
  <c r="AF23" i="6"/>
  <c r="AG23" i="6"/>
  <c r="AH23" i="6"/>
  <c r="AI23" i="6"/>
  <c r="AJ23" i="6"/>
  <c r="AK23" i="6"/>
  <c r="AL23" i="6"/>
  <c r="G24" i="6"/>
  <c r="X24" i="6"/>
  <c r="Y24" i="6"/>
  <c r="Z24" i="6"/>
  <c r="AA24" i="6"/>
  <c r="AB24" i="6"/>
  <c r="AC24" i="6"/>
  <c r="AD24" i="6"/>
  <c r="AE24" i="6"/>
  <c r="AF24" i="6"/>
  <c r="AG24" i="6"/>
  <c r="AH24" i="6"/>
  <c r="AI24" i="6"/>
  <c r="AJ24" i="6"/>
  <c r="AK24" i="6"/>
  <c r="AL24" i="6"/>
  <c r="G25" i="6"/>
  <c r="X25" i="6"/>
  <c r="Y25" i="6"/>
  <c r="Z25" i="6"/>
  <c r="AA25" i="6"/>
  <c r="AB25" i="6"/>
  <c r="AC25" i="6"/>
  <c r="AD25" i="6"/>
  <c r="AE25" i="6"/>
  <c r="AF25" i="6"/>
  <c r="AG25" i="6"/>
  <c r="AH25" i="6"/>
  <c r="AI25" i="6"/>
  <c r="AJ25" i="6"/>
  <c r="AK25" i="6"/>
  <c r="AL25" i="6"/>
  <c r="G26" i="6"/>
  <c r="X26" i="6"/>
  <c r="Y26" i="6"/>
  <c r="Z26" i="6"/>
  <c r="AA26" i="6"/>
  <c r="AB26" i="6"/>
  <c r="AC26" i="6"/>
  <c r="AD26" i="6"/>
  <c r="AE26" i="6"/>
  <c r="AF26" i="6"/>
  <c r="AG26" i="6"/>
  <c r="AH26" i="6"/>
  <c r="AI26" i="6"/>
  <c r="AJ26" i="6"/>
  <c r="AK26" i="6"/>
  <c r="AL26" i="6"/>
  <c r="X27" i="6"/>
  <c r="Y27" i="6"/>
  <c r="Z27" i="6"/>
  <c r="AA27" i="6"/>
  <c r="AB27" i="6"/>
  <c r="AC27" i="6"/>
  <c r="AD27" i="6"/>
  <c r="AE27" i="6"/>
  <c r="AF27" i="6"/>
  <c r="AG27" i="6"/>
  <c r="AH27" i="6"/>
  <c r="AI27" i="6"/>
  <c r="AJ27" i="6"/>
  <c r="AK27" i="6"/>
  <c r="AL27" i="6"/>
  <c r="E28" i="6"/>
  <c r="D28" i="6"/>
  <c r="G28" i="6"/>
  <c r="X28" i="6"/>
  <c r="Y28" i="6"/>
  <c r="Z28" i="6"/>
  <c r="AA28" i="6"/>
  <c r="AB28" i="6"/>
  <c r="AC28" i="6"/>
  <c r="AD28" i="6"/>
  <c r="AE28" i="6"/>
  <c r="AF28" i="6"/>
  <c r="AG28" i="6"/>
  <c r="AH28" i="6"/>
  <c r="AI28" i="6"/>
  <c r="AJ28" i="6"/>
  <c r="AK28" i="6"/>
  <c r="AL28" i="6"/>
  <c r="B4" i="6"/>
  <c r="C4" i="6"/>
  <c r="A5" i="6"/>
  <c r="B5" i="6"/>
  <c r="A6" i="6"/>
  <c r="B6" i="6"/>
  <c r="A7" i="6"/>
  <c r="B7" i="6"/>
  <c r="A8" i="6"/>
  <c r="B8" i="6"/>
  <c r="A9" i="6"/>
  <c r="B9" i="6"/>
  <c r="A10" i="6"/>
  <c r="B10" i="6"/>
  <c r="A11" i="6"/>
  <c r="B11" i="6"/>
  <c r="A12" i="6"/>
  <c r="B12" i="6"/>
  <c r="A13" i="6"/>
  <c r="B13" i="6"/>
  <c r="A14" i="6"/>
  <c r="B14" i="6"/>
  <c r="A15" i="6"/>
  <c r="B15" i="6"/>
  <c r="A17" i="6"/>
  <c r="B17" i="6"/>
  <c r="A18" i="6"/>
  <c r="B18" i="6"/>
  <c r="A20" i="6"/>
  <c r="B20" i="6"/>
  <c r="A21" i="6"/>
  <c r="B21" i="6"/>
  <c r="A23" i="6"/>
  <c r="B23" i="6"/>
  <c r="A24" i="6"/>
  <c r="B24" i="6"/>
  <c r="A25" i="6"/>
  <c r="B25" i="6"/>
  <c r="A26" i="6"/>
  <c r="B26" i="6"/>
  <c r="A28" i="6"/>
  <c r="B28" i="6"/>
  <c r="C28" i="6"/>
  <c r="D19" i="6" l="1"/>
  <c r="F16" i="6"/>
  <c r="B22" i="6"/>
  <c r="B19" i="6"/>
  <c r="F17" i="6"/>
  <c r="F19" i="6" s="1"/>
  <c r="E19" i="6"/>
  <c r="D10" i="6"/>
  <c r="D16" i="6" s="1"/>
  <c r="B16" i="6"/>
  <c r="E16" i="6"/>
  <c r="F8" i="4"/>
  <c r="F9" i="4"/>
  <c r="F10" i="4"/>
  <c r="F11" i="4"/>
  <c r="F12" i="4"/>
  <c r="F13" i="4"/>
  <c r="F14" i="4"/>
  <c r="F15" i="4"/>
  <c r="F16" i="4"/>
  <c r="F17" i="4"/>
  <c r="F18" i="4"/>
  <c r="F19" i="4"/>
  <c r="F20" i="4"/>
  <c r="F21" i="4"/>
  <c r="F22" i="4"/>
  <c r="X22" i="4" s="1"/>
  <c r="F23" i="4"/>
  <c r="F24" i="4"/>
  <c r="F25" i="4"/>
  <c r="F7" i="4"/>
  <c r="Y22" i="4" l="1"/>
  <c r="D23" i="6" s="1"/>
  <c r="E23" i="6"/>
  <c r="F23" i="6" s="1"/>
  <c r="C24" i="6"/>
  <c r="C26" i="6"/>
  <c r="C25" i="6"/>
  <c r="C18" i="6"/>
  <c r="C13" i="6"/>
  <c r="C9" i="6"/>
  <c r="C5" i="6"/>
  <c r="C23" i="6"/>
  <c r="C17" i="6"/>
  <c r="C19" i="6" s="1"/>
  <c r="C12" i="6"/>
  <c r="C8" i="6"/>
  <c r="C21" i="6"/>
  <c r="C15" i="6"/>
  <c r="C11" i="6"/>
  <c r="C7" i="6"/>
  <c r="C20" i="6"/>
  <c r="C22" i="6" s="1"/>
  <c r="C14" i="6"/>
  <c r="C10" i="6"/>
  <c r="C6" i="6"/>
  <c r="F26" i="4"/>
  <c r="C27" i="6" s="1"/>
  <c r="D17" i="4"/>
  <c r="D18" i="4"/>
  <c r="D19" i="4"/>
  <c r="D20" i="4"/>
  <c r="D21" i="4"/>
  <c r="D22" i="4"/>
  <c r="D23" i="4"/>
  <c r="D24" i="4"/>
  <c r="D25" i="4"/>
  <c r="D16" i="4"/>
  <c r="C16" i="6" l="1"/>
  <c r="M12" i="4"/>
  <c r="L12" i="4"/>
  <c r="L27" i="4" l="1"/>
  <c r="E25" i="6" l="1"/>
  <c r="F25" i="6" s="1"/>
  <c r="Y24" i="4"/>
  <c r="E26" i="6"/>
  <c r="D10" i="5"/>
  <c r="C10" i="5"/>
  <c r="D25" i="6" l="1"/>
  <c r="D26" i="6"/>
  <c r="P19" i="4"/>
  <c r="Q19" i="4"/>
  <c r="E24" i="6" l="1"/>
  <c r="F24" i="6" s="1"/>
  <c r="Y23" i="4"/>
  <c r="V25" i="4"/>
  <c r="D24" i="6" l="1"/>
  <c r="O7" i="4"/>
  <c r="Q7" i="4" s="1"/>
  <c r="O8" i="4"/>
  <c r="Q8" i="4" s="1"/>
  <c r="O9" i="4"/>
  <c r="Q9" i="4" s="1"/>
  <c r="O18" i="4"/>
  <c r="Q18" i="4" s="1"/>
  <c r="O16" i="4"/>
  <c r="Q16" i="4" s="1"/>
  <c r="O10" i="4"/>
  <c r="Q10" i="4" s="1"/>
  <c r="O11" i="4"/>
  <c r="Q11" i="4" s="1"/>
  <c r="O12" i="4"/>
  <c r="Q12" i="4" s="1"/>
  <c r="O17" i="4"/>
  <c r="Q17" i="4" s="1"/>
  <c r="O20" i="4"/>
  <c r="O21" i="4"/>
  <c r="Q21" i="4" s="1"/>
  <c r="O22" i="4"/>
  <c r="Q22" i="4" s="1"/>
  <c r="O14" i="4"/>
  <c r="Q14" i="4" s="1"/>
  <c r="O15" i="4"/>
  <c r="Q15" i="4" s="1"/>
  <c r="O23" i="4"/>
  <c r="Q23" i="4" s="1"/>
  <c r="O24" i="4"/>
  <c r="Q24" i="4" s="1"/>
  <c r="O25" i="4"/>
  <c r="Q25" i="4" s="1"/>
  <c r="O13" i="4"/>
  <c r="Q13" i="4" s="1"/>
  <c r="N18" i="4"/>
  <c r="P18" i="4" s="1"/>
  <c r="N16" i="4"/>
  <c r="P16" i="4" s="1"/>
  <c r="N12" i="4"/>
  <c r="P12" i="4" s="1"/>
  <c r="N17" i="4"/>
  <c r="P17" i="4" s="1"/>
  <c r="N21" i="4"/>
  <c r="P21" i="4" s="1"/>
  <c r="N14" i="4"/>
  <c r="P14" i="4" s="1"/>
  <c r="N15" i="4"/>
  <c r="P15" i="4" s="1"/>
  <c r="N23" i="4"/>
  <c r="P23" i="4" s="1"/>
  <c r="N24" i="4"/>
  <c r="P24" i="4" s="1"/>
  <c r="N25" i="4"/>
  <c r="P25" i="4" s="1"/>
  <c r="N26" i="4"/>
  <c r="N13" i="4"/>
  <c r="P13" i="4" s="1"/>
  <c r="L22" i="4"/>
  <c r="N22" i="4" s="1"/>
  <c r="P22" i="4" s="1"/>
  <c r="L20" i="4"/>
  <c r="N20" i="4" s="1"/>
  <c r="P20" i="4" s="1"/>
  <c r="L11" i="4"/>
  <c r="N11" i="4" s="1"/>
  <c r="P11" i="4" s="1"/>
  <c r="L9" i="4"/>
  <c r="L8" i="4"/>
  <c r="L7" i="4"/>
  <c r="N7" i="4" s="1"/>
  <c r="P7" i="4" s="1"/>
  <c r="Q20" i="4" l="1"/>
  <c r="X20" i="4"/>
  <c r="J9" i="4"/>
  <c r="N9" i="4" s="1"/>
  <c r="P9" i="4" s="1"/>
  <c r="J8" i="4"/>
  <c r="N8" i="4" s="1"/>
  <c r="P8" i="4" s="1"/>
  <c r="J10" i="4"/>
  <c r="N10" i="4" s="1"/>
  <c r="P10" i="4" s="1"/>
  <c r="Y20" i="4" l="1"/>
  <c r="Y26" i="4" s="1"/>
  <c r="D27" i="6" s="1"/>
  <c r="E20" i="6"/>
  <c r="X26" i="4"/>
  <c r="E27" i="6" s="1"/>
  <c r="G24" i="4"/>
  <c r="G23" i="4"/>
  <c r="F20" i="6" l="1"/>
  <c r="F22" i="6" s="1"/>
  <c r="F27" i="6" s="1"/>
  <c r="E22" i="6"/>
  <c r="D20" i="6"/>
  <c r="D22" i="6" s="1"/>
  <c r="H27" i="4"/>
  <c r="E26" i="4" l="1"/>
  <c r="B27" i="6" s="1"/>
</calcChain>
</file>

<file path=xl/comments1.xml><?xml version="1.0" encoding="utf-8"?>
<comments xmlns="http://schemas.openxmlformats.org/spreadsheetml/2006/main">
  <authors>
    <author>Åsta Vaaland Veen (AVVE)</author>
  </authors>
  <commentList>
    <comment ref="K7" authorId="0" shapeId="0">
      <text>
        <r>
          <rPr>
            <b/>
            <sz val="9"/>
            <color indexed="81"/>
            <rFont val="Tahoma"/>
            <family val="2"/>
          </rPr>
          <t>Åsta Vaaland Veen (AVVE):</t>
        </r>
        <r>
          <rPr>
            <sz val="9"/>
            <color indexed="81"/>
            <rFont val="Tahoma"/>
            <family val="2"/>
          </rPr>
          <t xml:space="preserve">
må være feil i enten kWh eller regnskap. Stemmer iikke overens med energiforbruk før i excelark 2010
</t>
        </r>
      </text>
    </comment>
    <comment ref="Z7" authorId="0" shapeId="0">
      <text>
        <r>
          <rPr>
            <b/>
            <sz val="9"/>
            <color indexed="81"/>
            <rFont val="Tahoma"/>
            <family val="2"/>
          </rPr>
          <t>Åsta Vaaland Veen (AVVE):</t>
        </r>
        <r>
          <rPr>
            <sz val="9"/>
            <color indexed="81"/>
            <rFont val="Tahoma"/>
            <family val="2"/>
          </rPr>
          <t xml:space="preserve">
presiser tekst</t>
        </r>
      </text>
    </comment>
    <comment ref="K8" authorId="0" shapeId="0">
      <text>
        <r>
          <rPr>
            <b/>
            <sz val="9"/>
            <color indexed="81"/>
            <rFont val="Tahoma"/>
            <family val="2"/>
          </rPr>
          <t>Åsta Vaaland Veen (AVVE) Får det ikke til å stemme at kr-beløp høyere enn kWh</t>
        </r>
      </text>
    </comment>
    <comment ref="Z8" authorId="0" shapeId="0">
      <text>
        <r>
          <rPr>
            <b/>
            <sz val="9"/>
            <color indexed="81"/>
            <rFont val="Tahoma"/>
            <family val="2"/>
          </rPr>
          <t>Åsta Vaaland Veen (AVVE):</t>
        </r>
        <r>
          <rPr>
            <sz val="9"/>
            <color indexed="81"/>
            <rFont val="Tahoma"/>
            <family val="2"/>
          </rPr>
          <t xml:space="preserve">
presiser tekst</t>
        </r>
      </text>
    </comment>
    <comment ref="Z9" authorId="0" shapeId="0">
      <text>
        <r>
          <rPr>
            <b/>
            <sz val="9"/>
            <color indexed="81"/>
            <rFont val="Tahoma"/>
            <family val="2"/>
          </rPr>
          <t>Åsta Vaaland Veen (AVVE):</t>
        </r>
        <r>
          <rPr>
            <sz val="9"/>
            <color indexed="81"/>
            <rFont val="Tahoma"/>
            <family val="2"/>
          </rPr>
          <t xml:space="preserve">
presiser tekst</t>
        </r>
      </text>
    </comment>
    <comment ref="Z10" authorId="0" shapeId="0">
      <text>
        <r>
          <rPr>
            <b/>
            <sz val="9"/>
            <color indexed="81"/>
            <rFont val="Tahoma"/>
            <family val="2"/>
          </rPr>
          <t>Åsta Vaaland Veen (AVVE):</t>
        </r>
        <r>
          <rPr>
            <sz val="9"/>
            <color indexed="81"/>
            <rFont val="Tahoma"/>
            <family val="2"/>
          </rPr>
          <t xml:space="preserve">
presiser tekst</t>
        </r>
      </text>
    </comment>
    <comment ref="Z11" authorId="0" shapeId="0">
      <text>
        <r>
          <rPr>
            <b/>
            <sz val="9"/>
            <color indexed="81"/>
            <rFont val="Tahoma"/>
            <family val="2"/>
          </rPr>
          <t>Åsta Vaaland Veen (AVVE):</t>
        </r>
        <r>
          <rPr>
            <sz val="9"/>
            <color indexed="81"/>
            <rFont val="Tahoma"/>
            <family val="2"/>
          </rPr>
          <t xml:space="preserve">
presiser tekst</t>
        </r>
      </text>
    </comment>
    <comment ref="C12" authorId="0" shapeId="0">
      <text>
        <r>
          <rPr>
            <b/>
            <sz val="9"/>
            <color indexed="81"/>
            <rFont val="Tahoma"/>
            <family val="2"/>
          </rPr>
          <t>Åsta Vaaland Veen (AVVE) Uklart hva som er omfattet her. Det er kun idrettshallen som er koblet på, den hadde forbruk 2010 på 225000 kWh. Skolen og Boas har hver alene over 600.000</t>
        </r>
      </text>
    </comment>
    <comment ref="R12" authorId="0" shapeId="0">
      <text>
        <r>
          <rPr>
            <b/>
            <sz val="9"/>
            <color indexed="81"/>
            <rFont val="Tahoma"/>
            <family val="2"/>
          </rPr>
          <t>Åsta Vaaland Veen (AVVE):</t>
        </r>
        <r>
          <rPr>
            <sz val="9"/>
            <color indexed="81"/>
            <rFont val="Tahoma"/>
            <family val="2"/>
          </rPr>
          <t xml:space="preserve">
kun austrått idrettshall</t>
        </r>
      </text>
    </comment>
    <comment ref="Z12" authorId="0" shapeId="0">
      <text>
        <r>
          <rPr>
            <b/>
            <sz val="9"/>
            <color indexed="81"/>
            <rFont val="Tahoma"/>
            <family val="2"/>
          </rPr>
          <t>Åsta Vaaland Veen (AVVE):</t>
        </r>
        <r>
          <rPr>
            <sz val="9"/>
            <color indexed="81"/>
            <rFont val="Tahoma"/>
            <family val="2"/>
          </rPr>
          <t xml:space="preserve">
presiser tekst</t>
        </r>
      </text>
    </comment>
    <comment ref="Z13" authorId="0" shapeId="0">
      <text>
        <r>
          <rPr>
            <b/>
            <sz val="9"/>
            <color indexed="81"/>
            <rFont val="Tahoma"/>
            <family val="2"/>
          </rPr>
          <t>Åsta Vaaland Veen (AVVE):</t>
        </r>
        <r>
          <rPr>
            <sz val="9"/>
            <color indexed="81"/>
            <rFont val="Tahoma"/>
            <family val="2"/>
          </rPr>
          <t xml:space="preserve">
presiser tekst</t>
        </r>
      </text>
    </comment>
    <comment ref="Z14" authorId="0" shapeId="0">
      <text>
        <r>
          <rPr>
            <b/>
            <sz val="9"/>
            <color indexed="81"/>
            <rFont val="Tahoma"/>
            <family val="2"/>
          </rPr>
          <t>Åsta Vaaland Veen (AVVE):</t>
        </r>
        <r>
          <rPr>
            <sz val="9"/>
            <color indexed="81"/>
            <rFont val="Tahoma"/>
            <family val="2"/>
          </rPr>
          <t xml:space="preserve">
presiser tekst</t>
        </r>
      </text>
    </comment>
    <comment ref="Z15" authorId="0" shapeId="0">
      <text>
        <r>
          <rPr>
            <b/>
            <sz val="9"/>
            <color indexed="81"/>
            <rFont val="Tahoma"/>
            <family val="2"/>
          </rPr>
          <t>Åsta Vaaland Veen (AVVE):</t>
        </r>
        <r>
          <rPr>
            <sz val="9"/>
            <color indexed="81"/>
            <rFont val="Tahoma"/>
            <family val="2"/>
          </rPr>
          <t xml:space="preserve">
presiser tekst</t>
        </r>
      </text>
    </comment>
    <comment ref="Z16" authorId="0" shapeId="0">
      <text>
        <r>
          <rPr>
            <b/>
            <sz val="9"/>
            <color indexed="81"/>
            <rFont val="Tahoma"/>
            <family val="2"/>
          </rPr>
          <t>Åsta Vaaland Veen (AVVE):</t>
        </r>
        <r>
          <rPr>
            <sz val="9"/>
            <color indexed="81"/>
            <rFont val="Tahoma"/>
            <family val="2"/>
          </rPr>
          <t xml:space="preserve">
presiser tekst</t>
        </r>
      </text>
    </comment>
    <comment ref="Z17" authorId="0" shapeId="0">
      <text>
        <r>
          <rPr>
            <b/>
            <sz val="9"/>
            <color indexed="81"/>
            <rFont val="Tahoma"/>
            <family val="2"/>
          </rPr>
          <t>Åsta Vaaland Veen (AVVE):</t>
        </r>
        <r>
          <rPr>
            <sz val="9"/>
            <color indexed="81"/>
            <rFont val="Tahoma"/>
            <family val="2"/>
          </rPr>
          <t xml:space="preserve">
presiser tekst</t>
        </r>
      </text>
    </comment>
    <comment ref="J20" authorId="0" shapeId="0">
      <text>
        <r>
          <rPr>
            <b/>
            <sz val="9"/>
            <color indexed="81"/>
            <rFont val="Tahoma"/>
            <family val="2"/>
          </rPr>
          <t>Åsta Vaaland Veen (AVVE):</t>
        </r>
        <r>
          <rPr>
            <sz val="9"/>
            <color indexed="81"/>
            <rFont val="Tahoma"/>
            <family val="2"/>
          </rPr>
          <t xml:space="preserve">
må være noe feil med energikostnaden her</t>
        </r>
      </text>
    </comment>
    <comment ref="L20" authorId="0" shapeId="0">
      <text>
        <r>
          <rPr>
            <b/>
            <sz val="9"/>
            <color indexed="81"/>
            <rFont val="Tahoma"/>
            <family val="2"/>
          </rPr>
          <t>Åsta Vaaland Veen (AVVE):</t>
        </r>
        <r>
          <rPr>
            <sz val="9"/>
            <color indexed="81"/>
            <rFont val="Tahoma"/>
            <family val="2"/>
          </rPr>
          <t xml:space="preserve">
er dette riktig? 
</t>
        </r>
      </text>
    </comment>
    <comment ref="M22" authorId="0" shapeId="0">
      <text>
        <r>
          <rPr>
            <b/>
            <sz val="9"/>
            <color indexed="81"/>
            <rFont val="Tahoma"/>
            <family val="2"/>
          </rPr>
          <t>Åsta Vaaland Veen (AVVE):</t>
        </r>
        <r>
          <rPr>
            <sz val="9"/>
            <color indexed="81"/>
            <rFont val="Tahoma"/>
            <family val="2"/>
          </rPr>
          <t xml:space="preserve">
hele forbruket oppgitt som gass..</t>
        </r>
      </text>
    </comment>
  </commentList>
</comments>
</file>

<file path=xl/comments2.xml><?xml version="1.0" encoding="utf-8"?>
<comments xmlns="http://schemas.openxmlformats.org/spreadsheetml/2006/main">
  <authors>
    <author>Åsta Vaaland Veen (AVVE)</author>
  </authors>
  <commentList>
    <comment ref="D11" authorId="0" shapeId="0">
      <text>
        <r>
          <rPr>
            <b/>
            <sz val="9"/>
            <color indexed="81"/>
            <rFont val="Tahoma"/>
            <family val="2"/>
          </rPr>
          <t>Åsta Vaaland Veen (AVVE):</t>
        </r>
        <r>
          <rPr>
            <sz val="9"/>
            <color indexed="81"/>
            <rFont val="Tahoma"/>
            <family val="2"/>
          </rPr>
          <t xml:space="preserve">
flytter besparelsen ned på energisentralene, ikke på rørene</t>
        </r>
      </text>
    </comment>
  </commentList>
</comments>
</file>

<file path=xl/sharedStrings.xml><?xml version="1.0" encoding="utf-8"?>
<sst xmlns="http://schemas.openxmlformats.org/spreadsheetml/2006/main" count="131" uniqueCount="116">
  <si>
    <t xml:space="preserve">ENØK- Prosjekt lokal varmesentral Lunde/ Sørbø </t>
  </si>
  <si>
    <t xml:space="preserve">ENØK- Prosjekt rørsystem for varmedistribusjon Lunde boas </t>
  </si>
  <si>
    <t xml:space="preserve">ENØK- Prosjekt rørsystem for varmedistribusjon Sørbø hallen </t>
  </si>
  <si>
    <t xml:space="preserve">ENØK- Prosjekt rørsystem for varmedistribusjon Sørbø skole </t>
  </si>
  <si>
    <t xml:space="preserve">ENØK- Prosjekt solvarme energi Lunde- Sørbø </t>
  </si>
  <si>
    <t xml:space="preserve">rørsystem for varmedistribusjon Høyland </t>
  </si>
  <si>
    <t xml:space="preserve">rørsystem for varmedistribusjon Iglemyr </t>
  </si>
  <si>
    <t xml:space="preserve">rørsystem for varmedistribusjon Austrått </t>
  </si>
  <si>
    <t xml:space="preserve">ENØK- Prosjekt fornybar energi Høle </t>
  </si>
  <si>
    <t xml:space="preserve">ENØK- VAV sonestyring ventilasjon Buggeland skole </t>
  </si>
  <si>
    <t xml:space="preserve">ENØK- VAV sonestyring ventilasjon Porsholen skole </t>
  </si>
  <si>
    <t xml:space="preserve">ENØK- Varatun helse basseng </t>
  </si>
  <si>
    <t xml:space="preserve">ENØK- Prosjekt fornybar energi Trones Sør </t>
  </si>
  <si>
    <t xml:space="preserve">ENØK- Prosjekt fornybar energi Trones Nord </t>
  </si>
  <si>
    <t>ENØK- Sentral drift overvåkning- sd- anlegg barnebygg</t>
  </si>
  <si>
    <t xml:space="preserve">ENØK- Sentral drift overvåkning- sd- anlegg skolebygg </t>
  </si>
  <si>
    <t xml:space="preserve">ENØK- EOS system / rapportverktøy (Verktøy for overvåkning </t>
  </si>
  <si>
    <t>Energikost før tiltak [kr] (2010)</t>
  </si>
  <si>
    <t>Sum</t>
  </si>
  <si>
    <t>Excelark 2010</t>
  </si>
  <si>
    <t>Tilsvar 2011</t>
  </si>
  <si>
    <t>Årlig energibesparelse ved 85 øre/kWh</t>
  </si>
  <si>
    <t>Referert til investeringsramme i spørresak 2011: 106,8 mill. kan det være investeringskost som er oppgitt her, ikke energikost. Til sammenligning var energibruk i hele kommunens bygningsmasse oppgitt å være 36 075 255/44 438 300 eks/ink mva  i 2010 ref handlingsplan energi og klima 2010. Forventet årlig besparelse på kr 22.656 800 betyr da en besparelse på over 60/50% av energiforbruk fra 2010 til 2016</t>
  </si>
  <si>
    <t>Her er ikke forbruk fra gass og olje inkludert</t>
  </si>
  <si>
    <t>-</t>
  </si>
  <si>
    <t xml:space="preserve">Årlig energiforbruk årsregnskap 2010 [kr]  </t>
  </si>
  <si>
    <t>Årlig elektrisk energiforbruk  2010 [kr]</t>
  </si>
  <si>
    <t>Økonomiplan 2012</t>
  </si>
  <si>
    <t>Nye beregninger viser sparepotensial 10-12%. Bevilget 4 mill</t>
  </si>
  <si>
    <t>Sparepotensial 25-30%. Høyland, Stangeland, Iglemyr, Smeaheia + Riska Boas. Bevilgning 11,9 mill</t>
  </si>
  <si>
    <t>Utvalgte barnehager. Bevilget 3 mill</t>
  </si>
  <si>
    <t>Bevilgning Trones, Iglemyr og Høle: 30 mill</t>
  </si>
  <si>
    <t>Besparelse 35-40% Buggeland, 20-25% Porsholen. Bevilget 2,5 mill</t>
  </si>
  <si>
    <t>Bevilgning  3,6 mill (Lunde Boas, Lundehaugen u, Sørbøhallen, Sørbø skole)</t>
  </si>
  <si>
    <t>Rørsystem og lokal varmesentral. Bevilget 8,5 mill</t>
  </si>
  <si>
    <t>Infrastruktur Sørbø skole, Sørbøhallen, Lunde boas, Lundehaugen skole. Bevilget 3,5 mill</t>
  </si>
  <si>
    <t>Rørsystem Austrått/Høyland. Høyland u, Austrått boas, Austrått skole, Iglemyr skole, Austrått idrettshall. Bevilget 7,2 mill</t>
  </si>
  <si>
    <t>Årsregnskap energikostnad kr 2016</t>
  </si>
  <si>
    <t>Årsregnskap energiforbruk kWh 2016</t>
  </si>
  <si>
    <t>Kommentar</t>
  </si>
  <si>
    <t>Besparelse 2010-2016 kr</t>
  </si>
  <si>
    <t>Besparelse 2010-2016 kWh</t>
  </si>
  <si>
    <t>Energirappportering inkl rapporter fra EOS</t>
  </si>
  <si>
    <t>Årlig energiforbruk årsregnskap 2010 (kWh)</t>
  </si>
  <si>
    <t>Prosjekt i øk.plan fra 2010</t>
  </si>
  <si>
    <t>Påløpte investeringskostnader 2009-2017 inkl mva</t>
  </si>
  <si>
    <t>Andre tiltak eller forhold som har påvirket energiforbruket</t>
  </si>
  <si>
    <t xml:space="preserve">ENØK fornybar energi Iglemyr </t>
  </si>
  <si>
    <t xml:space="preserve"> ENØK solvarme energi Austrått boas </t>
  </si>
  <si>
    <t>Rør</t>
  </si>
  <si>
    <t>Solvarme</t>
  </si>
  <si>
    <t>VAV</t>
  </si>
  <si>
    <t>SD-anlegg</t>
  </si>
  <si>
    <t>Enkelttiltak</t>
  </si>
  <si>
    <t>EOS</t>
  </si>
  <si>
    <t>Avvik fra forventa årlig besparelse kr</t>
  </si>
  <si>
    <t>Avvik fra forventa årlig  besparelse kWh</t>
  </si>
  <si>
    <t>Beskrivelse av tiltak og bevilgning i økonomiplan</t>
  </si>
  <si>
    <t>Gjennomført ENØK-tiltak i Tiltakspakke 1 2017. Effekten av disse viser ikke på 2016-regnskap. Tiltakspakke 1 var et eget prosjekt uavhengig av ENØK-tiltakene innmeldt i 2010</t>
  </si>
  <si>
    <t>Andre tiltak</t>
  </si>
  <si>
    <t>Utføres og idriftsettes 2018/2019</t>
  </si>
  <si>
    <t>Høyland skole</t>
  </si>
  <si>
    <t>2010 kr</t>
  </si>
  <si>
    <t>2010 kWh</t>
  </si>
  <si>
    <t>Stangeland skole</t>
  </si>
  <si>
    <t>Iglemyr skole</t>
  </si>
  <si>
    <t>Smeaheia skole</t>
  </si>
  <si>
    <t>Riska boas</t>
  </si>
  <si>
    <t>2016 kr</t>
  </si>
  <si>
    <t>2016 kWh</t>
  </si>
  <si>
    <t>Ikke utført</t>
  </si>
  <si>
    <t>Skolen er tilknyttet varmesentral. Skolen ble utvidet i 2014</t>
  </si>
  <si>
    <t>Gjennomført</t>
  </si>
  <si>
    <t>Det ble gjennomført forenklet tiltak på Buggeland, derfor lavere investering enn bevilget. Typisk 20% av investeringen, 80% av effekten</t>
  </si>
  <si>
    <t>Investering ikke regnskapsført per 2017</t>
  </si>
  <si>
    <t>Skolen er tilknyttet varmesentral. Byttet varmevekselere på ventilasjonsanlegg. Satt inn avtrekksvarmepumpe. Midlertidig klasseromsbrakke avviklet i perioden</t>
  </si>
  <si>
    <t>Årlig energikostnad før tiltak ved 85 øre/kWh</t>
  </si>
  <si>
    <t>Areal barnehagebygg er økt med 3600 m2. + 15%. Forbruk kWh/m2: -7% Det er utført bytte av ventilasjonsanlegg i Stangeland bhg, Stangelandsforen og Rissebærstraen bhg. Ellers lite utførte tiltak</t>
  </si>
  <si>
    <t>Areal skolebygg er økt med 5601 m2/  4,2%. Forbruk kWh/m2 -10% Det er utført enøktiltak på Høyland u.skole og Buggeland skole. Ellers er ENØK-tiltak  på skoler utførte først i 2017</t>
  </si>
  <si>
    <t>Areal formålsybb økt med 21989 m2/9%. Forbruk kWh/m2 - 11% Tiltak gjennomført på enkeltbygg i perioden, men de store ENØK-porteføljen kom først i 2017</t>
  </si>
  <si>
    <t>Historikk ENØK-tiltak 2010-2016</t>
  </si>
  <si>
    <t>Lunde Boas er tilkoblet varmesentral. Det ene ventilasjonsanlegget er skiftet 2015 kWh-tallet er økt, men kWh oppgitt i regnskapet for 2010 virker veldig lavt</t>
  </si>
  <si>
    <t>Hallen er tilkoblet varmesentral. varmepumpe ble erstattet med bioenergi. kWh oppgitt i regnskapet for 2010 virker veldig lavt</t>
  </si>
  <si>
    <t>Skolen ble utvidet til  ca tredobbelt areal  i 2014</t>
  </si>
  <si>
    <t>Skolen og idrettshallen er tilknyttet varmesentral. Regnskapstall 2010 og 2016 er summen av skole og idrettshall. Serviceleiligheter på Austrått Boas kobles til i 2018</t>
  </si>
  <si>
    <t>Gjennomført. Virker som det er kun Iglemyr skole som er tatt med i energikost før tiltak, selv om denne sentralen omfatter mange flere bygg. Derfor irrelevant å sammenligne med regnskapstall energi</t>
  </si>
  <si>
    <t>Ikke gjennomført fornybar energi. Gjennomført skifte av ventilasjonsanlegg og etterisolering ca 2012. Reduksjon skyldes disse tiltakene</t>
  </si>
  <si>
    <t>Energipris</t>
  </si>
  <si>
    <t>Forutsatt energipris</t>
  </si>
  <si>
    <t>KWH (2010)</t>
  </si>
  <si>
    <t>Navn på tiltak</t>
  </si>
  <si>
    <t>Levert energi fra varmesentral 2016 kWh</t>
  </si>
  <si>
    <t>Sum varmesentraler og røropplegg</t>
  </si>
  <si>
    <t>Sum solvarme</t>
  </si>
  <si>
    <t>Sum VAV</t>
  </si>
  <si>
    <t>Det kan fvære riktig med besparelse på mellom 20 og 40% på de ventilasjonsanleggene som er omfattet, selv med forventet tiltak. Men det blir feil å legge denne høye prosenten på hele skolens energiforbruk. Tiltaket som er utført er et forenklet VAV-tiltak. Typisk har disse tiltakene 80% av effekten til 20% av prisen.  Faktisk besparelse på Buggeland i perioden er på ca 20%. En god del av denne besparelsen kan nok knyttes til tiltaket. Noe av besparelsen kan sannsynligvis knyttes til SD-anlegg og EOS</t>
  </si>
  <si>
    <t>Korrigert energiforbruk utvalgte bygg SD-anlegg 2010 kWh</t>
  </si>
  <si>
    <t>Korrigert energiforbruk utvalgte bygg SD-anlegg 2016 kWh</t>
  </si>
  <si>
    <t>Korrigert besparelse kr</t>
  </si>
  <si>
    <t>Hva er et realistisk sparepotensial i 2016 sett i retrospekt?</t>
  </si>
  <si>
    <t>Det lå et altfor høyt tall til grunn for energiforbruk i skoler (kr og kWh) ved beregning av sparepotensial. Forbrukstallet ble korrigert  i tilsvar 2011, tilsynelatende uten at det ble gjort noen rekalkulering av sparepotensial. Avvik estimat energiforbruk  og regnskapsført energiforbruk var på hele 80%(kr) . Potensiell besparelse er dessuten i 2010 basert på reduksjon på ALLE skolebygg, selv om bare utvalgte bygg skulle få SD-anlegg. I økonomiplan er det spesifisert at tiltaket kun omfatter Høyland u.skole, Stangeland skole, Iglemyr skole, Smeaheia skole og Riska Boas. I alt 22 skoler har fått SD-anlegg. En del av disse holdes likevel utenfor korrigert besparelse på grunn av spesiell forhold ved skolene. Dette gjelder  Ganddal skole (rehabilitert), Høyland skole (gjenvinnere og varmepumpe), Iglemyr (omlagt til fornybar, radon), Kyrkjevollen (radon), Lundehaugen (rehabilitering), Porsholen skole (feil energidata), Sviland (byttet gjenvinnere), Sørbø skole (utvidet?) Trones Nord (rehabilitering), Øygard (rehabilitering) Energiforbruket på disse byggene er på totalt 6025375 kWh i 2016. 5% av dette er 301268 kWh</t>
  </si>
  <si>
    <t>Det lå et altfor høyt tall til grunn for energiforbruk i barnehager (kr og kWh) ved beregning av sparepotensial. Energikostnad ble korrigert  i tilsvar 2011, tilsynelatende uten at det ble gjort noen rekalkulering av sparepotensial. Og man regnet både i 2010 og 2011 en besparelse i ALLE barnehagebygg, selv om kkun utvalgte bygg fikk SD-anlegg. Avvik estimat energiforbruk  og regnskapsført energiforbruk var på hele 44%(kr). I beste fall kunne man da forvente at energibesparelsen ved tiltaket ble redusert med 400.000 kr /år.  Det  er gjennomført få rehabiliterings- og enøktiltak i barnehager, noe som burde tilsi høyt potensial for besparelse. 0% besparelse er likevel relativt høyt, da barnehager har kort driftstid, og mange bygg har kun et driftsmodus på ventilasjonsanlegg og manuelle systemer for lys- og temperaturstyring. SD-anlegg alene er ikke nok. men mer av potensialet kan tas ut med å benytte ET-kurver, koble termostater til SD-anlegg etc Flere barnehager i Sandnes har radonproblematikk, som gjør at man i perioden har økt driftstid på ventilasjon betraktelig.. Korrigert for økt areal, har barnehagene  redusert energiforbruk (kWh) med 7% per m2. En reduksjon på 15% fra faktisk energiforbruk 2010 burde kunne være realistisk . Dette kan følges opp på EOS-nivå på enkeltbygg for å se hvor det faktisk har vært besparelser. Korrigert besparelse er reduksjon i energiforbruk i de byggene som faktisk har fått SD-anlegg. Da er noen av byggene med SD-anlegg likevel utelatt pga spesielle forhold ved disse. Dette gjelder: Figgjo bhg (utvidet+fått varmepumpe), Jønningheia bhg (gjenreising etter brann), Høle, Riska, Sørbø (nye etter 2010), Rissebærstraen og Stangelandsforen (har fått nye ventilasjonsanlegg) Smeaheia (mangler energiforbrukstall) Energiforbruket på disse barnehagene 2016 var 771297 kWh,. 5% av dette er 38564 kWh</t>
  </si>
  <si>
    <t>Prosjektet er ikke fullt utbygd før i 2018/2019</t>
  </si>
  <si>
    <t>mangler regnskapstall 2010</t>
  </si>
  <si>
    <t>Forventet framtidig årlig besparelse/konvertert kWh</t>
  </si>
  <si>
    <t>Korrigert konvertert eller spart kWh</t>
  </si>
  <si>
    <t xml:space="preserve">Beregnet årlig besparelse [kr] </t>
  </si>
  <si>
    <t xml:space="preserve">Beregnet årlig besparelse kWh </t>
  </si>
  <si>
    <t>Korrigert Konvertert/ besparelsel kWh</t>
  </si>
  <si>
    <t>For dette tiltaket er det snakk om konvertering av kWh fra fossilt/direkte elektrisk til bioenergi. Konverterte kWh og kronebesparelse knyttes til rør og ikke energisentral. Dette for å beholde sporbarhet tilbake til bygg og unngå dobbelføring av gevinst</t>
  </si>
  <si>
    <t>Prosjekt ikke gjennomført. Beregning i 2010 tok utgangspunkt i et urealistisk stort sollfangerareal.</t>
  </si>
  <si>
    <t>Det lå et altfor høyt tall til grunn for energikostnad ved beregning av sparepotensial. Energikostnad ble korrigert  i tilsvar 2011, tilsynelatende uten at det ble gjort noen rekalkulering av sparepotensial. 10% besparelse for EOS er ikke urimelig. Men dette kan kanskje ikke plusses direkte på tallene for SD-anlegg og andre tiltak. EOS-system er heller et godt verktøy for å sørge for oppfølging av at andre tiltak gir den besparelsen som var tiltenkt, og at potensialet i SD-anlegg utnyttes.EOS-system er ikke endelig på plass, da det jobbes med rutiner og systematikk. Da SEKF jobber med kontrekt energieffektivisering i bygningsmassen, blir det svært vanskelig å si hvilken besparelse EOS-system faktisk gir.</t>
  </si>
  <si>
    <t>Det kan være riktig med besparelse på mellom 20 og 40% på de ventilasjonsanleggene som er omfattet, selv med forventet tiltak. Men det blir feil å legge denne høye prosenten på hele skolens energiforbruk. Det er ikke gjort oppdatert beregning på VAV-tiltaket i 2016, men energiforbruket på Porsholen i 2017 vil kunne si noe om oppnådd besparelse.</t>
  </si>
  <si>
    <t>Rensesystem. 35-45% besparelse. Bevilget 100.000</t>
  </si>
  <si>
    <t>Vurderes tilkobles Lyses  fjernvarmenett 2018.  Er investeringen inkludert i 33 mill? Gjennomført ENØK-tiltak i Tiltakspakke 1 2017. Effekten av disse viser ikke på 2016-regnskap. Tiltakspakke 1 var et eget prosjekt uavhengig av ENØK-tiltakene innmeldt i 2010. Uklart hva besparelsen skyldes</t>
  </si>
  <si>
    <t>Vurderes påkobling til Lyses fjernvarmenett 2018. Gjennomført skifte av ventilasjonsanlegg og etterisolering ca  2012. Antar at kWh-besparelsen har sammenheng med disse tiltakene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</si>
</sst>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20" x14ac:knownFonts="1">
    <font>
      <sz val="9"/>
      <color theme="1"/>
      <name val="Verdana"/>
      <family val="2"/>
      <scheme val="minor"/>
    </font>
    <font>
      <sz val="11"/>
      <color theme="1"/>
      <name val="Verdana"/>
      <family val="2"/>
      <scheme val="minor"/>
    </font>
    <font>
      <sz val="8"/>
      <name val="Calibri"/>
      <family val="2"/>
    </font>
    <font>
      <sz val="9"/>
      <color theme="1"/>
      <name val="Verdana"/>
      <family val="2"/>
    </font>
    <font>
      <sz val="9"/>
      <color theme="1"/>
      <name val="Verdana"/>
      <family val="2"/>
      <scheme val="minor"/>
    </font>
    <font>
      <sz val="9"/>
      <color rgb="FF9C0006"/>
      <name val="Verdana"/>
      <family val="2"/>
      <scheme val="minor"/>
    </font>
    <font>
      <sz val="9"/>
      <color rgb="FF006100"/>
      <name val="Verdana"/>
      <family val="2"/>
      <scheme val="minor"/>
    </font>
    <font>
      <sz val="9"/>
      <color rgb="FF9C6500"/>
      <name val="Verdana"/>
      <family val="2"/>
      <scheme val="minor"/>
    </font>
    <font>
      <b/>
      <sz val="9"/>
      <color rgb="FFFA7D00"/>
      <name val="Verdana"/>
      <family val="2"/>
      <scheme val="minor"/>
    </font>
    <font>
      <b/>
      <sz val="9"/>
      <color theme="0"/>
      <name val="Verdana"/>
      <family val="2"/>
      <scheme val="minor"/>
    </font>
    <font>
      <i/>
      <sz val="9"/>
      <color rgb="FF7F7F7F"/>
      <name val="Verdana"/>
      <family val="2"/>
      <scheme val="minor"/>
    </font>
    <font>
      <sz val="9"/>
      <color rgb="FF3F3F76"/>
      <name val="Verdana"/>
      <family val="2"/>
      <scheme val="minor"/>
    </font>
    <font>
      <sz val="9"/>
      <color rgb="FFFA7D00"/>
      <name val="Verdana"/>
      <family val="2"/>
      <scheme val="minor"/>
    </font>
    <font>
      <b/>
      <sz val="9"/>
      <color rgb="FF3F3F3F"/>
      <name val="Verdana"/>
      <family val="2"/>
      <scheme val="minor"/>
    </font>
    <font>
      <sz val="9"/>
      <color rgb="FFFF0000"/>
      <name val="Verdana"/>
      <family val="2"/>
      <scheme val="minor"/>
    </font>
    <font>
      <b/>
      <sz val="9"/>
      <color theme="1"/>
      <name val="Verdana"/>
      <family val="2"/>
      <scheme val="minor"/>
    </font>
    <font>
      <sz val="9"/>
      <color theme="0"/>
      <name val="Verdana"/>
      <family val="2"/>
      <scheme val="minor"/>
    </font>
    <font>
      <b/>
      <sz val="9"/>
      <color indexed="81"/>
      <name val="Tahoma"/>
      <family val="2"/>
    </font>
    <font>
      <sz val="9"/>
      <color indexed="81"/>
      <name val="Tahoma"/>
      <family val="2"/>
    </font>
    <font>
      <b/>
      <sz val="9"/>
      <color theme="1"/>
      <name val="Verdana"/>
      <family val="2"/>
    </font>
  </fonts>
  <fills count="40">
    <fill>
      <patternFill patternType="none"/>
    </fill>
    <fill>
      <patternFill patternType="gray125"/>
    </fill>
    <fill>
      <patternFill patternType="solid">
        <fgColor rgb="FFFFCC9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C99"/>
        <bgColor indexed="64"/>
      </patternFill>
    </fill>
    <fill>
      <patternFill patternType="solid">
        <fgColor rgb="FFFFFF99"/>
        <bgColor indexed="64"/>
      </patternFill>
    </fill>
    <fill>
      <patternFill patternType="solid">
        <fgColor rgb="FFCCFFCC"/>
        <bgColor indexed="64"/>
      </patternFill>
    </fill>
    <fill>
      <patternFill patternType="solid">
        <fgColor rgb="FFFF9999"/>
        <bgColor indexed="64"/>
      </patternFill>
    </fill>
    <fill>
      <patternFill patternType="solid">
        <fgColor rgb="FFCCCCFF"/>
        <bgColor indexed="64"/>
      </patternFill>
    </fill>
    <fill>
      <patternFill patternType="solid">
        <fgColor rgb="FF99CCFF"/>
        <bgColor indexed="64"/>
      </patternFill>
    </fill>
    <fill>
      <patternFill patternType="solid">
        <fgColor rgb="FFCCFFFF"/>
        <bgColor indexed="64"/>
      </patternFill>
    </fill>
  </fills>
  <borders count="24">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9">
    <xf numFmtId="0" fontId="0" fillId="0" borderId="0"/>
    <xf numFmtId="0" fontId="11" fillId="2" borderId="1" applyNumberFormat="0" applyAlignment="0">
      <protection locked="0"/>
    </xf>
    <xf numFmtId="0" fontId="6" fillId="3" borderId="0" applyNumberFormat="0" applyBorder="0" applyAlignment="0" applyProtection="0"/>
    <xf numFmtId="0" fontId="5" fillId="4" borderId="0" applyNumberFormat="0" applyBorder="0" applyAlignment="0" applyProtection="0"/>
    <xf numFmtId="0" fontId="7" fillId="5" borderId="0" applyNumberFormat="0" applyBorder="0" applyAlignment="0" applyProtection="0"/>
    <xf numFmtId="0" fontId="13" fillId="6" borderId="2" applyNumberFormat="0" applyAlignment="0" applyProtection="0"/>
    <xf numFmtId="0" fontId="8" fillId="6" borderId="1" applyNumberFormat="0" applyAlignment="0" applyProtection="0"/>
    <xf numFmtId="0" fontId="12" fillId="0" borderId="3" applyNumberFormat="0" applyFill="0" applyAlignment="0" applyProtection="0"/>
    <xf numFmtId="0" fontId="9" fillId="7" borderId="4" applyNumberFormat="0" applyAlignment="0" applyProtection="0"/>
    <xf numFmtId="0" fontId="14" fillId="0" borderId="0" applyNumberFormat="0" applyFill="0" applyBorder="0" applyAlignment="0" applyProtection="0"/>
    <xf numFmtId="0" fontId="4" fillId="8" borderId="5" applyNumberFormat="0" applyAlignment="0" applyProtection="0"/>
    <xf numFmtId="0" fontId="10" fillId="0" borderId="0" applyNumberFormat="0" applyFill="0" applyBorder="0" applyAlignment="0" applyProtection="0"/>
    <xf numFmtId="0" fontId="15" fillId="0" borderId="6" applyNumberFormat="0" applyFill="0" applyAlignment="0" applyProtection="0"/>
    <xf numFmtId="0" fontId="16"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6" fillId="32" borderId="0" applyNumberFormat="0" applyBorder="0" applyAlignment="0" applyProtection="0"/>
    <xf numFmtId="0" fontId="1" fillId="0" borderId="0"/>
    <xf numFmtId="43" fontId="4" fillId="0" borderId="0" applyFont="0" applyFill="0" applyBorder="0" applyAlignment="0" applyProtection="0"/>
  </cellStyleXfs>
  <cellXfs count="98">
    <xf numFmtId="0" fontId="0" fillId="0" borderId="0" xfId="0"/>
    <xf numFmtId="0" fontId="3" fillId="0" borderId="0" xfId="0" applyNumberFormat="1" applyFont="1" applyFill="1"/>
    <xf numFmtId="0" fontId="3" fillId="0" borderId="0" xfId="0" applyNumberFormat="1" applyFont="1" applyFill="1" applyAlignment="1">
      <alignment wrapText="1"/>
    </xf>
    <xf numFmtId="0" fontId="3" fillId="0" borderId="7" xfId="0" applyNumberFormat="1" applyFont="1" applyFill="1" applyBorder="1"/>
    <xf numFmtId="0" fontId="3" fillId="0" borderId="0" xfId="0" applyNumberFormat="1" applyFont="1" applyFill="1" applyAlignment="1">
      <alignment horizontal="left" vertical="top"/>
    </xf>
    <xf numFmtId="0" fontId="3" fillId="0" borderId="7" xfId="0" applyNumberFormat="1" applyFont="1" applyFill="1" applyBorder="1" applyAlignment="1">
      <alignment horizontal="left" vertical="top"/>
    </xf>
    <xf numFmtId="0" fontId="3" fillId="0" borderId="0" xfId="0" applyNumberFormat="1" applyFont="1" applyFill="1" applyBorder="1" applyAlignment="1">
      <alignment horizontal="center" vertical="top" wrapText="1"/>
    </xf>
    <xf numFmtId="3" fontId="3" fillId="0" borderId="0" xfId="0" applyNumberFormat="1" applyFont="1" applyFill="1" applyBorder="1" applyAlignment="1">
      <alignment horizontal="center" vertical="top" wrapText="1"/>
    </xf>
    <xf numFmtId="3" fontId="3" fillId="33" borderId="7" xfId="0" applyNumberFormat="1" applyFont="1" applyFill="1" applyBorder="1"/>
    <xf numFmtId="164" fontId="3" fillId="33" borderId="7" xfId="38" applyNumberFormat="1" applyFont="1" applyFill="1" applyBorder="1"/>
    <xf numFmtId="3" fontId="3" fillId="34" borderId="7" xfId="0" applyNumberFormat="1" applyFont="1" applyFill="1" applyBorder="1"/>
    <xf numFmtId="0" fontId="3" fillId="35" borderId="7" xfId="0" applyNumberFormat="1" applyFont="1" applyFill="1" applyBorder="1" applyAlignment="1">
      <alignment wrapText="1"/>
    </xf>
    <xf numFmtId="164" fontId="3" fillId="36" borderId="7" xfId="38" applyNumberFormat="1" applyFont="1" applyFill="1" applyBorder="1" applyAlignment="1">
      <alignment vertical="center" wrapText="1"/>
    </xf>
    <xf numFmtId="0" fontId="3" fillId="36" borderId="7" xfId="0" applyNumberFormat="1" applyFont="1" applyFill="1" applyBorder="1" applyAlignment="1">
      <alignment wrapText="1"/>
    </xf>
    <xf numFmtId="164" fontId="3" fillId="36" borderId="7" xfId="38" applyNumberFormat="1" applyFont="1" applyFill="1" applyBorder="1" applyAlignment="1">
      <alignment wrapText="1"/>
    </xf>
    <xf numFmtId="164" fontId="3" fillId="36" borderId="7" xfId="38" applyNumberFormat="1" applyFont="1" applyFill="1" applyBorder="1" applyAlignment="1">
      <alignment horizontal="left" vertical="center" wrapText="1"/>
    </xf>
    <xf numFmtId="0" fontId="19" fillId="33" borderId="7" xfId="0" applyNumberFormat="1" applyFont="1" applyFill="1" applyBorder="1" applyAlignment="1">
      <alignment wrapText="1"/>
    </xf>
    <xf numFmtId="0" fontId="19" fillId="34" borderId="9" xfId="0" applyNumberFormat="1" applyFont="1" applyFill="1" applyBorder="1" applyAlignment="1">
      <alignment wrapText="1"/>
    </xf>
    <xf numFmtId="0" fontId="19" fillId="35" borderId="7" xfId="0" applyNumberFormat="1" applyFont="1" applyFill="1" applyBorder="1" applyAlignment="1">
      <alignment wrapText="1"/>
    </xf>
    <xf numFmtId="0" fontId="19" fillId="36" borderId="7" xfId="0" applyNumberFormat="1" applyFont="1" applyFill="1" applyBorder="1" applyAlignment="1">
      <alignment wrapText="1"/>
    </xf>
    <xf numFmtId="0" fontId="19" fillId="36" borderId="12" xfId="0" applyNumberFormat="1" applyFont="1" applyFill="1" applyBorder="1" applyAlignment="1">
      <alignment wrapText="1"/>
    </xf>
    <xf numFmtId="164" fontId="3" fillId="38" borderId="7" xfId="38" applyNumberFormat="1" applyFont="1" applyFill="1" applyBorder="1"/>
    <xf numFmtId="0" fontId="3" fillId="38" borderId="7" xfId="0" applyNumberFormat="1" applyFont="1" applyFill="1" applyBorder="1"/>
    <xf numFmtId="164" fontId="3" fillId="38" borderId="7" xfId="0" applyNumberFormat="1" applyFont="1" applyFill="1" applyBorder="1"/>
    <xf numFmtId="38" fontId="3" fillId="38" borderId="7" xfId="0" applyNumberFormat="1" applyFont="1" applyFill="1" applyBorder="1"/>
    <xf numFmtId="0" fontId="3" fillId="38" borderId="0" xfId="0" applyNumberFormat="1" applyFont="1" applyFill="1" applyBorder="1"/>
    <xf numFmtId="0" fontId="19" fillId="38" borderId="7" xfId="0" applyNumberFormat="1" applyFont="1" applyFill="1" applyBorder="1" applyAlignment="1">
      <alignment wrapText="1"/>
    </xf>
    <xf numFmtId="0" fontId="19" fillId="38" borderId="12" xfId="0" applyNumberFormat="1" applyFont="1" applyFill="1" applyBorder="1" applyAlignment="1">
      <alignment wrapText="1"/>
    </xf>
    <xf numFmtId="0" fontId="19" fillId="38" borderId="9" xfId="0" applyNumberFormat="1" applyFont="1" applyFill="1" applyBorder="1" applyAlignment="1">
      <alignment wrapText="1"/>
    </xf>
    <xf numFmtId="0" fontId="3" fillId="39" borderId="7" xfId="0" applyNumberFormat="1" applyFont="1" applyFill="1" applyBorder="1"/>
    <xf numFmtId="0" fontId="3" fillId="39" borderId="7" xfId="0" applyNumberFormat="1" applyFont="1" applyFill="1" applyBorder="1" applyAlignment="1">
      <alignment wrapText="1"/>
    </xf>
    <xf numFmtId="164" fontId="3" fillId="39" borderId="7" xfId="0" applyNumberFormat="1" applyFont="1" applyFill="1" applyBorder="1"/>
    <xf numFmtId="43" fontId="3" fillId="0" borderId="0" xfId="0" applyNumberFormat="1" applyFont="1" applyFill="1"/>
    <xf numFmtId="0" fontId="19" fillId="0" borderId="7" xfId="0" applyNumberFormat="1" applyFont="1" applyFill="1" applyBorder="1" applyAlignment="1">
      <alignment horizontal="left" vertical="top"/>
    </xf>
    <xf numFmtId="0" fontId="19" fillId="0" borderId="7" xfId="0" applyNumberFormat="1" applyFont="1" applyFill="1" applyBorder="1" applyAlignment="1">
      <alignment horizontal="left" vertical="top" wrapText="1"/>
    </xf>
    <xf numFmtId="0" fontId="19" fillId="0" borderId="7" xfId="0" applyNumberFormat="1" applyFont="1" applyFill="1" applyBorder="1"/>
    <xf numFmtId="0" fontId="19" fillId="0" borderId="7" xfId="0" applyNumberFormat="1" applyFont="1" applyFill="1" applyBorder="1" applyAlignment="1">
      <alignment horizontal="center" vertical="center"/>
    </xf>
    <xf numFmtId="0" fontId="19" fillId="0" borderId="0" xfId="0" applyNumberFormat="1" applyFont="1" applyFill="1"/>
    <xf numFmtId="0" fontId="19" fillId="0" borderId="0" xfId="0" applyNumberFormat="1" applyFont="1" applyFill="1" applyAlignment="1">
      <alignment horizontal="left" vertical="top"/>
    </xf>
    <xf numFmtId="3" fontId="3" fillId="38" borderId="7" xfId="0" applyNumberFormat="1" applyFont="1" applyFill="1" applyBorder="1"/>
    <xf numFmtId="0" fontId="3" fillId="37" borderId="7" xfId="0" applyNumberFormat="1" applyFont="1" applyFill="1" applyBorder="1" applyAlignment="1">
      <alignment horizontal="left" vertical="center" wrapText="1"/>
    </xf>
    <xf numFmtId="0" fontId="3" fillId="0" borderId="0" xfId="0" applyNumberFormat="1" applyFont="1" applyFill="1" applyAlignment="1">
      <alignment horizontal="left"/>
    </xf>
    <xf numFmtId="0" fontId="19" fillId="37" borderId="7" xfId="0" applyNumberFormat="1" applyFont="1" applyFill="1" applyBorder="1" applyAlignment="1">
      <alignment horizontal="left" wrapText="1"/>
    </xf>
    <xf numFmtId="0" fontId="19" fillId="37" borderId="12" xfId="0" applyNumberFormat="1" applyFont="1" applyFill="1" applyBorder="1" applyAlignment="1">
      <alignment horizontal="left" wrapText="1"/>
    </xf>
    <xf numFmtId="0" fontId="3" fillId="37" borderId="7" xfId="0" applyNumberFormat="1" applyFont="1" applyFill="1" applyBorder="1" applyAlignment="1">
      <alignment horizontal="left" wrapText="1"/>
    </xf>
    <xf numFmtId="164" fontId="3" fillId="39" borderId="7" xfId="38" applyNumberFormat="1" applyFont="1" applyFill="1" applyBorder="1"/>
    <xf numFmtId="0" fontId="19" fillId="39" borderId="7" xfId="0" applyNumberFormat="1" applyFont="1" applyFill="1" applyBorder="1"/>
    <xf numFmtId="0" fontId="3" fillId="34" borderId="7" xfId="0" applyNumberFormat="1" applyFont="1" applyFill="1" applyBorder="1"/>
    <xf numFmtId="0" fontId="19" fillId="38" borderId="14" xfId="0" applyNumberFormat="1" applyFont="1" applyFill="1" applyBorder="1" applyAlignment="1">
      <alignment horizontal="center"/>
    </xf>
    <xf numFmtId="0" fontId="19" fillId="38" borderId="14" xfId="0" applyNumberFormat="1" applyFont="1" applyFill="1" applyBorder="1" applyAlignment="1">
      <alignment horizontal="center"/>
    </xf>
    <xf numFmtId="38" fontId="3" fillId="38" borderId="15" xfId="0" applyNumberFormat="1" applyFont="1" applyFill="1" applyBorder="1"/>
    <xf numFmtId="38" fontId="3" fillId="38" borderId="12" xfId="0" applyNumberFormat="1" applyFont="1" applyFill="1" applyBorder="1"/>
    <xf numFmtId="38" fontId="3" fillId="39" borderId="7" xfId="0" applyNumberFormat="1" applyFont="1" applyFill="1" applyBorder="1"/>
    <xf numFmtId="38" fontId="3" fillId="0" borderId="0" xfId="0" applyNumberFormat="1" applyFont="1" applyFill="1"/>
    <xf numFmtId="164" fontId="3" fillId="0" borderId="0" xfId="0" applyNumberFormat="1" applyFont="1" applyFill="1"/>
    <xf numFmtId="0" fontId="19" fillId="0" borderId="7" xfId="0" applyNumberFormat="1" applyFont="1" applyFill="1" applyBorder="1" applyAlignment="1">
      <alignment wrapText="1"/>
    </xf>
    <xf numFmtId="0" fontId="3" fillId="0" borderId="7" xfId="0" applyNumberFormat="1" applyFont="1" applyFill="1" applyBorder="1" applyAlignment="1">
      <alignment wrapText="1"/>
    </xf>
    <xf numFmtId="0" fontId="3" fillId="0" borderId="15" xfId="0" applyNumberFormat="1" applyFont="1" applyFill="1" applyBorder="1"/>
    <xf numFmtId="0" fontId="3" fillId="0" borderId="15" xfId="0" applyNumberFormat="1" applyFont="1" applyFill="1" applyBorder="1" applyAlignment="1">
      <alignment wrapText="1"/>
    </xf>
    <xf numFmtId="0" fontId="3" fillId="0" borderId="20" xfId="0" applyNumberFormat="1" applyFont="1" applyFill="1" applyBorder="1"/>
    <xf numFmtId="0" fontId="3" fillId="0" borderId="20" xfId="0" applyNumberFormat="1" applyFont="1" applyFill="1" applyBorder="1" applyAlignment="1">
      <alignment wrapText="1"/>
    </xf>
    <xf numFmtId="0" fontId="3" fillId="0" borderId="12" xfId="0" applyNumberFormat="1" applyFont="1" applyFill="1" applyBorder="1"/>
    <xf numFmtId="0" fontId="3" fillId="0" borderId="12" xfId="0" applyNumberFormat="1" applyFont="1" applyFill="1" applyBorder="1" applyAlignment="1">
      <alignment wrapText="1"/>
    </xf>
    <xf numFmtId="164" fontId="19" fillId="0" borderId="21" xfId="38" applyNumberFormat="1" applyFont="1" applyFill="1" applyBorder="1"/>
    <xf numFmtId="0" fontId="19" fillId="0" borderId="17" xfId="0" applyNumberFormat="1" applyFont="1" applyFill="1" applyBorder="1"/>
    <xf numFmtId="0" fontId="19" fillId="0" borderId="19" xfId="0" applyNumberFormat="1" applyFont="1" applyFill="1" applyBorder="1" applyAlignment="1">
      <alignment wrapText="1"/>
    </xf>
    <xf numFmtId="0" fontId="19" fillId="0" borderId="22" xfId="0" applyNumberFormat="1" applyFont="1" applyFill="1" applyBorder="1"/>
    <xf numFmtId="0" fontId="3" fillId="0" borderId="23" xfId="0" applyNumberFormat="1" applyFont="1" applyFill="1" applyBorder="1" applyAlignment="1">
      <alignment wrapText="1"/>
    </xf>
    <xf numFmtId="0" fontId="19" fillId="0" borderId="23" xfId="0" applyNumberFormat="1" applyFont="1" applyFill="1" applyBorder="1" applyAlignment="1">
      <alignment wrapText="1"/>
    </xf>
    <xf numFmtId="3" fontId="3" fillId="39" borderId="7" xfId="0" applyNumberFormat="1" applyFont="1" applyFill="1" applyBorder="1"/>
    <xf numFmtId="1" fontId="3" fillId="39" borderId="7" xfId="0" applyNumberFormat="1" applyFont="1" applyFill="1" applyBorder="1"/>
    <xf numFmtId="164" fontId="3" fillId="0" borderId="7" xfId="38" applyNumberFormat="1" applyFont="1" applyFill="1" applyBorder="1"/>
    <xf numFmtId="164" fontId="3" fillId="0" borderId="20" xfId="38" applyNumberFormat="1" applyFont="1" applyFill="1" applyBorder="1"/>
    <xf numFmtId="164" fontId="3" fillId="0" borderId="12" xfId="38" applyNumberFormat="1" applyFont="1" applyFill="1" applyBorder="1"/>
    <xf numFmtId="164" fontId="3" fillId="0" borderId="15" xfId="38" applyNumberFormat="1" applyFont="1" applyFill="1" applyBorder="1"/>
    <xf numFmtId="164" fontId="19" fillId="0" borderId="18" xfId="38" applyNumberFormat="1" applyFont="1" applyFill="1" applyBorder="1"/>
    <xf numFmtId="164" fontId="3" fillId="0" borderId="7" xfId="0" applyNumberFormat="1" applyFont="1" applyFill="1" applyBorder="1"/>
    <xf numFmtId="164" fontId="3" fillId="0" borderId="12" xfId="0" applyNumberFormat="1" applyFont="1" applyFill="1" applyBorder="1"/>
    <xf numFmtId="164" fontId="3" fillId="0" borderId="20" xfId="0" applyNumberFormat="1" applyFont="1" applyFill="1" applyBorder="1"/>
    <xf numFmtId="164" fontId="3" fillId="36" borderId="7" xfId="38" applyNumberFormat="1" applyFont="1" applyFill="1" applyBorder="1" applyAlignment="1">
      <alignment horizontal="center" vertical="center" wrapText="1"/>
    </xf>
    <xf numFmtId="0" fontId="3" fillId="35" borderId="15" xfId="0" applyNumberFormat="1" applyFont="1" applyFill="1" applyBorder="1" applyAlignment="1">
      <alignment horizontal="center" wrapText="1"/>
    </xf>
    <xf numFmtId="0" fontId="3" fillId="35" borderId="12" xfId="0" applyNumberFormat="1" applyFont="1" applyFill="1" applyBorder="1" applyAlignment="1">
      <alignment horizontal="center" wrapText="1"/>
    </xf>
    <xf numFmtId="164" fontId="3" fillId="36" borderId="9" xfId="38" applyNumberFormat="1" applyFont="1" applyFill="1" applyBorder="1" applyAlignment="1">
      <alignment horizontal="center" vertical="center" wrapText="1"/>
    </xf>
    <xf numFmtId="164" fontId="3" fillId="36" borderId="12" xfId="38" applyNumberFormat="1" applyFont="1" applyFill="1" applyBorder="1" applyAlignment="1">
      <alignment horizontal="center" vertical="center" wrapText="1"/>
    </xf>
    <xf numFmtId="0" fontId="19" fillId="38" borderId="13" xfId="0" applyNumberFormat="1" applyFont="1" applyFill="1" applyBorder="1" applyAlignment="1">
      <alignment horizontal="center"/>
    </xf>
    <xf numFmtId="0" fontId="19" fillId="38" borderId="16" xfId="0" applyNumberFormat="1" applyFont="1" applyFill="1" applyBorder="1" applyAlignment="1">
      <alignment horizontal="center"/>
    </xf>
    <xf numFmtId="0" fontId="19" fillId="38" borderId="14" xfId="0" applyNumberFormat="1" applyFont="1" applyFill="1" applyBorder="1" applyAlignment="1">
      <alignment horizontal="center"/>
    </xf>
    <xf numFmtId="164" fontId="3" fillId="36" borderId="15" xfId="38" applyNumberFormat="1" applyFont="1" applyFill="1" applyBorder="1" applyAlignment="1">
      <alignment horizontal="center" wrapText="1"/>
    </xf>
    <xf numFmtId="164" fontId="3" fillId="36" borderId="12" xfId="38" applyNumberFormat="1" applyFont="1" applyFill="1" applyBorder="1" applyAlignment="1">
      <alignment horizontal="center" wrapText="1"/>
    </xf>
    <xf numFmtId="0" fontId="3" fillId="35" borderId="7" xfId="0" applyNumberFormat="1" applyFont="1" applyFill="1" applyBorder="1" applyAlignment="1">
      <alignment horizontal="center" vertical="center" wrapText="1"/>
    </xf>
    <xf numFmtId="0" fontId="19" fillId="33" borderId="7" xfId="0" applyNumberFormat="1" applyFont="1" applyFill="1" applyBorder="1" applyAlignment="1">
      <alignment horizontal="center"/>
    </xf>
    <xf numFmtId="0" fontId="3" fillId="0" borderId="8" xfId="0" applyNumberFormat="1" applyFont="1" applyFill="1" applyBorder="1" applyAlignment="1">
      <alignment horizontal="center" vertical="top" wrapText="1"/>
    </xf>
    <xf numFmtId="0" fontId="19" fillId="34" borderId="7" xfId="0" applyNumberFormat="1" applyFont="1" applyFill="1" applyBorder="1" applyAlignment="1">
      <alignment horizontal="center"/>
    </xf>
    <xf numFmtId="0" fontId="19" fillId="0" borderId="7" xfId="0" applyNumberFormat="1" applyFont="1" applyFill="1" applyBorder="1" applyAlignment="1">
      <alignment horizontal="center" vertical="center"/>
    </xf>
    <xf numFmtId="0" fontId="19" fillId="0" borderId="10" xfId="0" applyNumberFormat="1" applyFont="1" applyFill="1" applyBorder="1" applyAlignment="1">
      <alignment horizontal="center" vertical="center" wrapText="1"/>
    </xf>
    <xf numFmtId="0" fontId="19" fillId="0" borderId="11" xfId="0" applyNumberFormat="1" applyFont="1" applyFill="1" applyBorder="1" applyAlignment="1">
      <alignment horizontal="center" vertical="center" wrapText="1"/>
    </xf>
    <xf numFmtId="0" fontId="19" fillId="0" borderId="7" xfId="0" applyNumberFormat="1" applyFont="1" applyFill="1" applyBorder="1" applyAlignment="1">
      <alignment horizontal="center" vertical="center" wrapText="1"/>
    </xf>
    <xf numFmtId="0" fontId="19" fillId="0" borderId="7" xfId="0" applyNumberFormat="1" applyFont="1" applyFill="1" applyBorder="1" applyAlignment="1">
      <alignment horizontal="center"/>
    </xf>
  </cellXfs>
  <cellStyles count="39">
    <cellStyle name="20 % - uthevingsfarge 1" xfId="14" builtinId="30" customBuiltin="1"/>
    <cellStyle name="20 % - uthevingsfarge 2" xfId="18" builtinId="34" customBuiltin="1"/>
    <cellStyle name="20 % - uthevingsfarge 3" xfId="22" builtinId="38" customBuiltin="1"/>
    <cellStyle name="20 % - uthevingsfarge 4" xfId="26" builtinId="42" customBuiltin="1"/>
    <cellStyle name="20 % - uthevingsfarge 5" xfId="30" builtinId="46" customBuiltin="1"/>
    <cellStyle name="20 % - uthevingsfarge 6" xfId="34" builtinId="50" customBuiltin="1"/>
    <cellStyle name="40 % - uthevingsfarge 1" xfId="15" builtinId="31" customBuiltin="1"/>
    <cellStyle name="40 % - uthevingsfarge 2" xfId="19" builtinId="35" customBuiltin="1"/>
    <cellStyle name="40 % - uthevingsfarge 3" xfId="23" builtinId="39" customBuiltin="1"/>
    <cellStyle name="40 % - uthevingsfarge 4" xfId="27" builtinId="43" customBuiltin="1"/>
    <cellStyle name="40 % - uthevingsfarge 5" xfId="31" builtinId="47" customBuiltin="1"/>
    <cellStyle name="40 % - uthevingsfarge 6" xfId="35" builtinId="51" customBuiltin="1"/>
    <cellStyle name="60 % - uthevingsfarge 1" xfId="16" builtinId="32" customBuiltin="1"/>
    <cellStyle name="60 % - uthevingsfarge 2" xfId="20" builtinId="36" customBuiltin="1"/>
    <cellStyle name="60 % - uthevingsfarge 3" xfId="24" builtinId="40" customBuiltin="1"/>
    <cellStyle name="60 % - uthevingsfarge 4" xfId="28" builtinId="44" customBuiltin="1"/>
    <cellStyle name="60 % - uthevingsfarge 5" xfId="32" builtinId="48" customBuiltin="1"/>
    <cellStyle name="60 % - uthevingsfarge 6" xfId="36" builtinId="52" customBuiltin="1"/>
    <cellStyle name="Beregning" xfId="6" builtinId="22" customBuiltin="1"/>
    <cellStyle name="Dårlig" xfId="3" builtinId="27" customBuiltin="1"/>
    <cellStyle name="Forklarende tekst" xfId="11" builtinId="53" customBuiltin="1"/>
    <cellStyle name="God" xfId="2" builtinId="26" customBuiltin="1"/>
    <cellStyle name="Inndata" xfId="1" builtinId="20" customBuiltin="1"/>
    <cellStyle name="Koblet celle" xfId="7" builtinId="24" customBuiltin="1"/>
    <cellStyle name="Komma" xfId="38" builtinId="3"/>
    <cellStyle name="Kontrollcelle" xfId="8" builtinId="23" customBuiltin="1"/>
    <cellStyle name="Merknad" xfId="10" builtinId="10" customBuiltin="1"/>
    <cellStyle name="Normal" xfId="0" builtinId="0" customBuiltin="1"/>
    <cellStyle name="Normal 2" xfId="37"/>
    <cellStyle name="Nøytral" xfId="4" builtinId="28" customBuiltin="1"/>
    <cellStyle name="Totalt" xfId="12" builtinId="25" customBuiltin="1"/>
    <cellStyle name="Utdata" xfId="5" builtinId="21" customBuiltin="1"/>
    <cellStyle name="Uthevingsfarge1" xfId="13" builtinId="29" customBuiltin="1"/>
    <cellStyle name="Uthevingsfarge2" xfId="17" builtinId="33" customBuiltin="1"/>
    <cellStyle name="Uthevingsfarge3" xfId="21" builtinId="37" customBuiltin="1"/>
    <cellStyle name="Uthevingsfarge4" xfId="25" builtinId="41" customBuiltin="1"/>
    <cellStyle name="Uthevingsfarge5" xfId="29" builtinId="45" customBuiltin="1"/>
    <cellStyle name="Uthevingsfarge6" xfId="33" builtinId="49" customBuiltin="1"/>
    <cellStyle name="Varseltekst" xfId="9" builtinId="11" customBuiltin="1"/>
  </cellStyles>
  <dxfs count="0"/>
  <tableStyles count="0" defaultTableStyle="TableStyleMedium2" defaultPivotStyle="PivotStyleLight16"/>
  <colors>
    <mruColors>
      <color rgb="FFFFFF99"/>
      <color rgb="FF00CC66"/>
      <color rgb="FFCCFFFF"/>
      <color rgb="FF99CCFF"/>
      <color rgb="FFCCCCFF"/>
      <color rgb="FFFF9999"/>
      <color rgb="FFCCFFCC"/>
      <color rgb="FFFFCC99"/>
      <color rgb="FF99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vve/Desktop/Sandnes%20eiendom/Dokumenter%20fra%20Leif%20Arne/Energirapportering%20inkl%20rapporter%20fra%20EOS%20v.2%20(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vve/Desktop/Sandnes%20eiendom/Energirapportering%20inkl%20rapporter%20fra%20EOS%20v.2%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sikt"/>
      <sheetName val="CO2"/>
      <sheetName val="Total input"/>
      <sheetName val="3858_Kultur"/>
      <sheetName val="3800_Idrett"/>
      <sheetName val="2611_Boas"/>
      <sheetName val="2222_Skole"/>
      <sheetName val="2212_bhg 16"/>
      <sheetName val="Admin 16"/>
      <sheetName val="Kulturbygg 10"/>
      <sheetName val="Idrettsbygg samlet 10"/>
      <sheetName val="Helsebygg 10"/>
      <sheetName val="Adm Bygg 10"/>
      <sheetName val="Skoler 10"/>
      <sheetName val="Barnehager 10"/>
    </sheetNames>
    <sheetDataSet>
      <sheetData sheetId="0"/>
      <sheetData sheetId="1"/>
      <sheetData sheetId="2">
        <row r="18">
          <cell r="I18">
            <v>555104</v>
          </cell>
          <cell r="W18">
            <v>755472</v>
          </cell>
        </row>
        <row r="145">
          <cell r="I145">
            <v>223612</v>
          </cell>
          <cell r="W145">
            <v>395873</v>
          </cell>
        </row>
        <row r="146">
          <cell r="I146">
            <v>116794</v>
          </cell>
        </row>
        <row r="147">
          <cell r="I147">
            <v>1034</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sikt"/>
      <sheetName val="CO2"/>
      <sheetName val="Total input"/>
      <sheetName val="3858_Kultur"/>
      <sheetName val="3800_Idrett"/>
      <sheetName val="2611_Boas"/>
      <sheetName val="2222_Skole"/>
      <sheetName val="2212_bhg 16"/>
      <sheetName val="Admin 16"/>
      <sheetName val="Kulturbygg 10"/>
      <sheetName val="Idrettsbygg samlet 10"/>
      <sheetName val="Helsebygg 10"/>
      <sheetName val="Adm Bygg 10"/>
      <sheetName val="Skoler 10"/>
      <sheetName val="Barnehager 10"/>
    </sheetNames>
    <sheetDataSet>
      <sheetData sheetId="0"/>
      <sheetData sheetId="1"/>
      <sheetData sheetId="2">
        <row r="145">
          <cell r="Y145">
            <v>81842.509999999951</v>
          </cell>
          <cell r="Z145">
            <v>40310.489999999969</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ROCK">
  <a:themeElements>
    <a:clrScheme name="ROCK">
      <a:dk1>
        <a:sysClr val="windowText" lastClr="000000"/>
      </a:dk1>
      <a:lt1>
        <a:sysClr val="window" lastClr="FFFFFF"/>
      </a:lt1>
      <a:dk2>
        <a:srgbClr val="44546A"/>
      </a:dk2>
      <a:lt2>
        <a:srgbClr val="E7E6E6"/>
      </a:lt2>
      <a:accent1>
        <a:srgbClr val="F2F1EC"/>
      </a:accent1>
      <a:accent2>
        <a:srgbClr val="DCD5CF"/>
      </a:accent2>
      <a:accent3>
        <a:srgbClr val="C3C3BD"/>
      </a:accent3>
      <a:accent4>
        <a:srgbClr val="8D918D"/>
      </a:accent4>
      <a:accent5>
        <a:srgbClr val="65625E"/>
      </a:accent5>
      <a:accent6>
        <a:srgbClr val="454038"/>
      </a:accent6>
      <a:hlink>
        <a:srgbClr val="0563C1"/>
      </a:hlink>
      <a:folHlink>
        <a:srgbClr val="954F72"/>
      </a:folHlink>
    </a:clrScheme>
    <a:fontScheme name="NirasThemeFonts">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
  <dimension ref="A1:AC27"/>
  <sheetViews>
    <sheetView showRuler="0" zoomScale="90" zoomScaleNormal="90" zoomScaleSheetLayoutView="400" zoomScalePageLayoutView="55" workbookViewId="0">
      <pane xSplit="2" ySplit="6" topLeftCell="V7" activePane="bottomRight" state="frozen"/>
      <selection pane="topRight" activeCell="C1" sqref="C1"/>
      <selection pane="bottomLeft" activeCell="A7" sqref="A7"/>
      <selection pane="bottomRight" activeCell="B1" sqref="B1"/>
    </sheetView>
  </sheetViews>
  <sheetFormatPr baseColWidth="10" defaultColWidth="9.09765625" defaultRowHeight="12.75" customHeight="1" x14ac:dyDescent="0.2"/>
  <cols>
    <col min="1" max="1" width="10.8984375" style="1" customWidth="1"/>
    <col min="2" max="2" width="60.3984375" style="4" customWidth="1"/>
    <col min="3" max="3" width="17" style="1" customWidth="1"/>
    <col min="4" max="4" width="10.796875" style="1" customWidth="1"/>
    <col min="5" max="5" width="11.796875" style="1" customWidth="1"/>
    <col min="6" max="6" width="12.09765625" style="1" customWidth="1"/>
    <col min="7" max="7" width="11.09765625" style="1" customWidth="1"/>
    <col min="8" max="8" width="9.69921875" style="1" customWidth="1"/>
    <col min="9" max="9" width="10.8984375" style="1" bestFit="1" customWidth="1"/>
    <col min="10" max="10" width="15.8984375" style="2" customWidth="1"/>
    <col min="11" max="11" width="14.19921875" style="2" customWidth="1"/>
    <col min="12" max="12" width="16.8984375" style="1" customWidth="1"/>
    <col min="13" max="13" width="9.09765625" style="1"/>
    <col min="14" max="14" width="11.69921875" style="1" customWidth="1"/>
    <col min="15" max="15" width="11.3984375" style="1" bestFit="1" customWidth="1"/>
    <col min="16" max="16" width="11.3984375" style="1" customWidth="1"/>
    <col min="17" max="17" width="12.09765625" style="1" bestFit="1" customWidth="1"/>
    <col min="18" max="18" width="12.09765625" style="1" customWidth="1"/>
    <col min="19" max="20" width="13.296875" style="1" customWidth="1"/>
    <col min="21" max="21" width="32.09765625" style="1" customWidth="1"/>
    <col min="22" max="22" width="22.3984375" style="1" customWidth="1"/>
    <col min="23" max="23" width="37.296875" style="41" customWidth="1"/>
    <col min="24" max="25" width="11.796875" style="1" customWidth="1"/>
    <col min="26" max="26" width="82.3984375" style="1" customWidth="1"/>
    <col min="27" max="16384" width="9.09765625" style="1"/>
  </cols>
  <sheetData>
    <row r="1" spans="1:29" ht="12.75" customHeight="1" x14ac:dyDescent="0.2">
      <c r="B1" s="38" t="s">
        <v>80</v>
      </c>
    </row>
    <row r="4" spans="1:29" ht="12.75" customHeight="1" x14ac:dyDescent="0.2">
      <c r="C4" s="47" t="s">
        <v>88</v>
      </c>
      <c r="D4" s="47">
        <v>1.49</v>
      </c>
      <c r="X4" s="47" t="s">
        <v>87</v>
      </c>
      <c r="Y4" s="47">
        <v>0.8</v>
      </c>
    </row>
    <row r="5" spans="1:29" ht="58.2" customHeight="1" x14ac:dyDescent="0.2">
      <c r="C5" s="90" t="s">
        <v>19</v>
      </c>
      <c r="D5" s="90"/>
      <c r="E5" s="90"/>
      <c r="F5" s="90"/>
      <c r="G5" s="92" t="s">
        <v>20</v>
      </c>
      <c r="H5" s="92"/>
      <c r="I5" s="92"/>
      <c r="J5" s="84" t="s">
        <v>42</v>
      </c>
      <c r="K5" s="85"/>
      <c r="L5" s="85"/>
      <c r="M5" s="85"/>
      <c r="N5" s="85"/>
      <c r="O5" s="85"/>
      <c r="P5" s="85"/>
      <c r="Q5" s="86"/>
      <c r="R5" s="48"/>
      <c r="S5" s="49"/>
      <c r="T5" s="49"/>
      <c r="U5" s="18" t="s">
        <v>27</v>
      </c>
      <c r="V5" s="19" t="s">
        <v>44</v>
      </c>
      <c r="W5" s="42" t="s">
        <v>59</v>
      </c>
      <c r="X5" s="29" t="s">
        <v>99</v>
      </c>
      <c r="Y5" s="30"/>
      <c r="Z5" s="46"/>
    </row>
    <row r="6" spans="1:29" ht="79.2" customHeight="1" x14ac:dyDescent="0.2">
      <c r="B6" s="5" t="s">
        <v>90</v>
      </c>
      <c r="C6" s="16" t="s">
        <v>17</v>
      </c>
      <c r="D6" s="16" t="s">
        <v>89</v>
      </c>
      <c r="E6" s="16" t="s">
        <v>106</v>
      </c>
      <c r="F6" s="16" t="s">
        <v>107</v>
      </c>
      <c r="G6" s="17" t="s">
        <v>26</v>
      </c>
      <c r="H6" s="17" t="s">
        <v>76</v>
      </c>
      <c r="I6" s="17" t="s">
        <v>21</v>
      </c>
      <c r="J6" s="26" t="s">
        <v>25</v>
      </c>
      <c r="K6" s="26" t="s">
        <v>43</v>
      </c>
      <c r="L6" s="27" t="s">
        <v>37</v>
      </c>
      <c r="M6" s="27" t="s">
        <v>38</v>
      </c>
      <c r="N6" s="28" t="s">
        <v>40</v>
      </c>
      <c r="O6" s="28" t="s">
        <v>41</v>
      </c>
      <c r="P6" s="28" t="s">
        <v>55</v>
      </c>
      <c r="Q6" s="28" t="s">
        <v>56</v>
      </c>
      <c r="R6" s="28" t="s">
        <v>91</v>
      </c>
      <c r="S6" s="28" t="s">
        <v>96</v>
      </c>
      <c r="T6" s="28" t="s">
        <v>97</v>
      </c>
      <c r="U6" s="18" t="s">
        <v>57</v>
      </c>
      <c r="V6" s="20" t="s">
        <v>45</v>
      </c>
      <c r="W6" s="43" t="s">
        <v>46</v>
      </c>
      <c r="X6" s="30" t="s">
        <v>108</v>
      </c>
      <c r="Y6" s="30" t="s">
        <v>98</v>
      </c>
      <c r="Z6" s="30" t="s">
        <v>39</v>
      </c>
    </row>
    <row r="7" spans="1:29" ht="52.2" customHeight="1" x14ac:dyDescent="0.2">
      <c r="A7" s="94" t="s">
        <v>49</v>
      </c>
      <c r="B7" s="33" t="s">
        <v>1</v>
      </c>
      <c r="C7" s="8">
        <v>586284</v>
      </c>
      <c r="D7" s="8">
        <v>689746</v>
      </c>
      <c r="E7" s="9">
        <v>246239</v>
      </c>
      <c r="F7" s="8">
        <f>E7/$D$4</f>
        <v>165261.07382550335</v>
      </c>
      <c r="G7" s="10">
        <v>809345</v>
      </c>
      <c r="H7" s="10"/>
      <c r="I7" s="10"/>
      <c r="J7" s="21">
        <v>616035</v>
      </c>
      <c r="K7" s="21">
        <v>327442</v>
      </c>
      <c r="L7" s="22">
        <f>365636+11870+67105</f>
        <v>444611</v>
      </c>
      <c r="M7" s="22">
        <v>769603</v>
      </c>
      <c r="N7" s="23">
        <f t="shared" ref="N7:N18" si="0">J7-L7</f>
        <v>171424</v>
      </c>
      <c r="O7" s="24">
        <f t="shared" ref="O7:O18" si="1">K7-M7</f>
        <v>-442161</v>
      </c>
      <c r="P7" s="24">
        <f t="shared" ref="P7:P25" si="2">N7-F7</f>
        <v>6162.9261744966498</v>
      </c>
      <c r="Q7" s="24">
        <f t="shared" ref="Q7:Q25" si="3">O7-F7</f>
        <v>-607422.07382550335</v>
      </c>
      <c r="R7" s="24">
        <v>197713.75300342758</v>
      </c>
      <c r="S7" s="24"/>
      <c r="T7" s="24"/>
      <c r="U7" s="89" t="s">
        <v>35</v>
      </c>
      <c r="V7" s="82">
        <v>3857722</v>
      </c>
      <c r="W7" s="40" t="s">
        <v>81</v>
      </c>
      <c r="X7" s="52">
        <f>R7</f>
        <v>197713.75300342758</v>
      </c>
      <c r="Y7" s="45">
        <f>0.4*X7</f>
        <v>79085.501201371037</v>
      </c>
      <c r="Z7" s="30" t="s">
        <v>109</v>
      </c>
    </row>
    <row r="8" spans="1:29" ht="40.799999999999997" customHeight="1" x14ac:dyDescent="0.2">
      <c r="A8" s="94"/>
      <c r="B8" s="33" t="s">
        <v>2</v>
      </c>
      <c r="C8" s="8">
        <v>420210</v>
      </c>
      <c r="D8" s="8">
        <v>494365</v>
      </c>
      <c r="E8" s="9">
        <v>176488</v>
      </c>
      <c r="F8" s="8">
        <f t="shared" ref="F8:F25" si="4">E8/$D$4</f>
        <v>118448.32214765101</v>
      </c>
      <c r="G8" s="10">
        <v>350004</v>
      </c>
      <c r="H8" s="10"/>
      <c r="I8" s="10"/>
      <c r="J8" s="21">
        <f>16086+270433</f>
        <v>286519</v>
      </c>
      <c r="K8" s="21">
        <v>199924</v>
      </c>
      <c r="L8" s="22">
        <f>73358+23868+45736</f>
        <v>142962</v>
      </c>
      <c r="M8" s="22">
        <v>221081</v>
      </c>
      <c r="N8" s="23">
        <f t="shared" si="0"/>
        <v>143557</v>
      </c>
      <c r="O8" s="24">
        <f t="shared" si="1"/>
        <v>-21157</v>
      </c>
      <c r="P8" s="24">
        <f t="shared" si="2"/>
        <v>25108.677852348992</v>
      </c>
      <c r="Q8" s="24">
        <f t="shared" si="3"/>
        <v>-139605.32214765099</v>
      </c>
      <c r="R8" s="24">
        <v>139831.67965530555</v>
      </c>
      <c r="S8" s="24"/>
      <c r="T8" s="24"/>
      <c r="U8" s="89"/>
      <c r="V8" s="82"/>
      <c r="W8" s="40" t="s">
        <v>82</v>
      </c>
      <c r="X8" s="52">
        <f t="shared" ref="X8:X12" si="5">R8</f>
        <v>139831.67965530555</v>
      </c>
      <c r="Y8" s="45">
        <f t="shared" ref="Y8:Y12" si="6">0.4*X8</f>
        <v>55932.671862122224</v>
      </c>
      <c r="Z8" s="30" t="s">
        <v>109</v>
      </c>
    </row>
    <row r="9" spans="1:29" ht="38.4" customHeight="1" x14ac:dyDescent="0.2">
      <c r="A9" s="94"/>
      <c r="B9" s="33" t="s">
        <v>3</v>
      </c>
      <c r="C9" s="8">
        <v>298639</v>
      </c>
      <c r="D9" s="8">
        <v>351340</v>
      </c>
      <c r="E9" s="9">
        <v>125428</v>
      </c>
      <c r="F9" s="8">
        <f t="shared" si="4"/>
        <v>84179.865771812081</v>
      </c>
      <c r="G9" s="10">
        <v>237848</v>
      </c>
      <c r="H9" s="10"/>
      <c r="I9" s="10"/>
      <c r="J9" s="21">
        <f>107047+84686</f>
        <v>191733</v>
      </c>
      <c r="K9" s="21">
        <v>262845</v>
      </c>
      <c r="L9" s="22">
        <f>200256+58032+139512</f>
        <v>397800</v>
      </c>
      <c r="M9" s="22">
        <v>578014</v>
      </c>
      <c r="N9" s="23">
        <f t="shared" si="0"/>
        <v>-206067</v>
      </c>
      <c r="O9" s="24">
        <f t="shared" si="1"/>
        <v>-315169</v>
      </c>
      <c r="P9" s="24">
        <f t="shared" si="2"/>
        <v>-290246.8657718121</v>
      </c>
      <c r="Q9" s="24">
        <f t="shared" si="3"/>
        <v>-399348.8657718121</v>
      </c>
      <c r="R9" s="24">
        <v>296179.27980591031</v>
      </c>
      <c r="S9" s="24"/>
      <c r="T9" s="24"/>
      <c r="U9" s="89"/>
      <c r="V9" s="83"/>
      <c r="W9" s="40" t="s">
        <v>83</v>
      </c>
      <c r="X9" s="52">
        <f t="shared" si="5"/>
        <v>296179.27980591031</v>
      </c>
      <c r="Y9" s="45">
        <f t="shared" si="6"/>
        <v>118471.71192236413</v>
      </c>
      <c r="Z9" s="30" t="s">
        <v>109</v>
      </c>
    </row>
    <row r="10" spans="1:29" ht="51" customHeight="1" x14ac:dyDescent="0.2">
      <c r="A10" s="94"/>
      <c r="B10" s="33" t="s">
        <v>5</v>
      </c>
      <c r="C10" s="8">
        <v>1363000</v>
      </c>
      <c r="D10" s="8">
        <v>1603529</v>
      </c>
      <c r="E10" s="9">
        <v>572460</v>
      </c>
      <c r="F10" s="8">
        <f t="shared" si="4"/>
        <v>384201.34228187922</v>
      </c>
      <c r="G10" s="10">
        <v>1304651</v>
      </c>
      <c r="H10" s="10"/>
      <c r="I10" s="10"/>
      <c r="J10" s="21">
        <f>935354+114690</f>
        <v>1050044</v>
      </c>
      <c r="K10" s="21">
        <v>1327409</v>
      </c>
      <c r="L10" s="22">
        <v>669416</v>
      </c>
      <c r="M10" s="22">
        <v>730552</v>
      </c>
      <c r="N10" s="23">
        <f t="shared" si="0"/>
        <v>380628</v>
      </c>
      <c r="O10" s="24">
        <f t="shared" si="1"/>
        <v>596857</v>
      </c>
      <c r="P10" s="24">
        <f t="shared" si="2"/>
        <v>-3573.3422818792169</v>
      </c>
      <c r="Q10" s="24">
        <f t="shared" si="3"/>
        <v>212655.65771812078</v>
      </c>
      <c r="R10" s="24">
        <v>0</v>
      </c>
      <c r="S10" s="24"/>
      <c r="T10" s="24"/>
      <c r="U10" s="89" t="s">
        <v>36</v>
      </c>
      <c r="V10" s="82">
        <v>7479266</v>
      </c>
      <c r="W10" s="40" t="s">
        <v>75</v>
      </c>
      <c r="X10" s="52">
        <f t="shared" si="5"/>
        <v>0</v>
      </c>
      <c r="Y10" s="45">
        <f t="shared" si="6"/>
        <v>0</v>
      </c>
      <c r="Z10" s="30" t="s">
        <v>109</v>
      </c>
    </row>
    <row r="11" spans="1:29" ht="34.799999999999997" customHeight="1" x14ac:dyDescent="0.2">
      <c r="A11" s="94"/>
      <c r="B11" s="33" t="s">
        <v>6</v>
      </c>
      <c r="C11" s="8">
        <v>468269</v>
      </c>
      <c r="D11" s="8">
        <v>550905</v>
      </c>
      <c r="E11" s="9">
        <v>196673</v>
      </c>
      <c r="F11" s="8">
        <f t="shared" si="4"/>
        <v>131995.30201342283</v>
      </c>
      <c r="G11" s="10">
        <v>566404</v>
      </c>
      <c r="H11" s="10"/>
      <c r="I11" s="10"/>
      <c r="J11" s="21">
        <v>463345</v>
      </c>
      <c r="K11" s="21">
        <v>579872</v>
      </c>
      <c r="L11" s="22">
        <f>242724+218900+2529</f>
        <v>464153</v>
      </c>
      <c r="M11" s="22">
        <v>609176</v>
      </c>
      <c r="N11" s="23">
        <f t="shared" si="0"/>
        <v>-808</v>
      </c>
      <c r="O11" s="24">
        <f t="shared" si="1"/>
        <v>-29304</v>
      </c>
      <c r="P11" s="24">
        <f t="shared" si="2"/>
        <v>-132803.30201342283</v>
      </c>
      <c r="Q11" s="24">
        <f t="shared" si="3"/>
        <v>-161299.30201342283</v>
      </c>
      <c r="R11" s="24">
        <v>252221.06299999985</v>
      </c>
      <c r="S11" s="24"/>
      <c r="T11" s="24"/>
      <c r="U11" s="89"/>
      <c r="V11" s="82"/>
      <c r="W11" s="40" t="s">
        <v>71</v>
      </c>
      <c r="X11" s="52">
        <f t="shared" si="5"/>
        <v>252221.06299999985</v>
      </c>
      <c r="Y11" s="45">
        <f t="shared" si="6"/>
        <v>100888.42519999994</v>
      </c>
      <c r="Z11" s="30" t="s">
        <v>109</v>
      </c>
    </row>
    <row r="12" spans="1:29" ht="59.4" customHeight="1" x14ac:dyDescent="0.2">
      <c r="A12" s="95"/>
      <c r="B12" s="33" t="s">
        <v>7</v>
      </c>
      <c r="C12" s="8">
        <v>648646</v>
      </c>
      <c r="D12" s="8">
        <v>763113</v>
      </c>
      <c r="E12" s="9">
        <v>272431</v>
      </c>
      <c r="F12" s="8">
        <f t="shared" si="4"/>
        <v>182839.59731543623</v>
      </c>
      <c r="G12" s="10">
        <v>847786</v>
      </c>
      <c r="H12" s="10"/>
      <c r="I12" s="10"/>
      <c r="J12" s="21">
        <v>918080</v>
      </c>
      <c r="K12" s="21">
        <v>1159822</v>
      </c>
      <c r="L12" s="39">
        <f>'[1]Total input'!$I$18+'[1]Total input'!$I$145+'[1]Total input'!$I$146+'[1]Total input'!$I$147</f>
        <v>896544</v>
      </c>
      <c r="M12" s="22">
        <f>'[1]Total input'!$W$145+'[1]Total input'!$W$18</f>
        <v>1151345</v>
      </c>
      <c r="N12" s="23">
        <f t="shared" si="0"/>
        <v>21536</v>
      </c>
      <c r="O12" s="24">
        <f t="shared" si="1"/>
        <v>8477</v>
      </c>
      <c r="P12" s="24">
        <f t="shared" si="2"/>
        <v>-161303.59731543623</v>
      </c>
      <c r="Q12" s="24">
        <f t="shared" si="3"/>
        <v>-174362.59731543623</v>
      </c>
      <c r="R12" s="24">
        <f>'[2]Total input'!$Y$145+'[2]Total input'!$Z$145</f>
        <v>122152.99999999991</v>
      </c>
      <c r="S12" s="24"/>
      <c r="T12" s="24"/>
      <c r="U12" s="89"/>
      <c r="V12" s="83"/>
      <c r="W12" s="40" t="s">
        <v>84</v>
      </c>
      <c r="X12" s="52">
        <f t="shared" si="5"/>
        <v>122152.99999999991</v>
      </c>
      <c r="Y12" s="45">
        <f t="shared" si="6"/>
        <v>48861.199999999968</v>
      </c>
      <c r="Z12" s="30" t="s">
        <v>109</v>
      </c>
      <c r="AB12" s="53"/>
      <c r="AC12" s="54"/>
    </row>
    <row r="13" spans="1:29" ht="34.799999999999997" customHeight="1" x14ac:dyDescent="0.2">
      <c r="A13" s="96"/>
      <c r="B13" s="34" t="s">
        <v>0</v>
      </c>
      <c r="C13" s="8">
        <v>2537633</v>
      </c>
      <c r="D13" s="8">
        <v>2985451</v>
      </c>
      <c r="E13" s="9">
        <v>1522580</v>
      </c>
      <c r="F13" s="8">
        <f t="shared" si="4"/>
        <v>1021865.7718120805</v>
      </c>
      <c r="G13" s="10"/>
      <c r="H13" s="10"/>
      <c r="I13" s="10"/>
      <c r="J13" s="21"/>
      <c r="K13" s="21"/>
      <c r="L13" s="22"/>
      <c r="M13" s="22"/>
      <c r="N13" s="23">
        <f t="shared" si="0"/>
        <v>0</v>
      </c>
      <c r="O13" s="24">
        <f t="shared" si="1"/>
        <v>0</v>
      </c>
      <c r="P13" s="24">
        <f t="shared" si="2"/>
        <v>-1021865.7718120805</v>
      </c>
      <c r="Q13" s="24">
        <f t="shared" si="3"/>
        <v>-1021865.7718120805</v>
      </c>
      <c r="R13" s="24"/>
      <c r="S13" s="24"/>
      <c r="T13" s="24"/>
      <c r="U13" s="11" t="s">
        <v>34</v>
      </c>
      <c r="V13" s="12">
        <v>10212410</v>
      </c>
      <c r="W13" s="40" t="s">
        <v>72</v>
      </c>
      <c r="X13" s="29">
        <v>0</v>
      </c>
      <c r="Y13" s="29">
        <v>0</v>
      </c>
      <c r="Z13" s="30" t="s">
        <v>109</v>
      </c>
    </row>
    <row r="14" spans="1:29" ht="85.8" customHeight="1" x14ac:dyDescent="0.2">
      <c r="A14" s="96"/>
      <c r="B14" s="33" t="s">
        <v>12</v>
      </c>
      <c r="C14" s="8">
        <v>754083</v>
      </c>
      <c r="D14" s="8">
        <v>887156</v>
      </c>
      <c r="E14" s="9">
        <v>452450</v>
      </c>
      <c r="F14" s="8">
        <f t="shared" si="4"/>
        <v>303657.7181208054</v>
      </c>
      <c r="G14" s="10">
        <v>1132418</v>
      </c>
      <c r="H14" s="10">
        <v>754083</v>
      </c>
      <c r="I14" s="10">
        <v>452450</v>
      </c>
      <c r="J14" s="21">
        <v>930640</v>
      </c>
      <c r="K14" s="21">
        <v>1184811</v>
      </c>
      <c r="L14" s="21">
        <v>611121</v>
      </c>
      <c r="M14" s="22">
        <v>897089</v>
      </c>
      <c r="N14" s="23">
        <f t="shared" si="0"/>
        <v>319519</v>
      </c>
      <c r="O14" s="24">
        <f t="shared" si="1"/>
        <v>287722</v>
      </c>
      <c r="P14" s="24">
        <f t="shared" si="2"/>
        <v>15861.281879194605</v>
      </c>
      <c r="Q14" s="24">
        <f t="shared" si="3"/>
        <v>-15935.718120805395</v>
      </c>
      <c r="R14" s="24"/>
      <c r="S14" s="24"/>
      <c r="T14" s="24"/>
      <c r="U14" s="11" t="s">
        <v>31</v>
      </c>
      <c r="V14" s="82">
        <v>33429257</v>
      </c>
      <c r="W14" s="44" t="s">
        <v>114</v>
      </c>
      <c r="X14" s="29">
        <v>0</v>
      </c>
      <c r="Y14" s="29">
        <v>0</v>
      </c>
      <c r="Z14" s="30" t="s">
        <v>109</v>
      </c>
    </row>
    <row r="15" spans="1:29" ht="58.8" customHeight="1" x14ac:dyDescent="0.2">
      <c r="A15" s="96"/>
      <c r="B15" s="33" t="s">
        <v>13</v>
      </c>
      <c r="C15" s="8">
        <v>555350</v>
      </c>
      <c r="D15" s="8">
        <v>653353</v>
      </c>
      <c r="E15" s="9">
        <v>333210</v>
      </c>
      <c r="F15" s="8">
        <f t="shared" si="4"/>
        <v>223630.87248322146</v>
      </c>
      <c r="G15" s="10">
        <v>632234</v>
      </c>
      <c r="H15" s="10">
        <v>555350</v>
      </c>
      <c r="I15" s="10">
        <v>333210</v>
      </c>
      <c r="J15" s="21">
        <v>514437</v>
      </c>
      <c r="K15" s="21">
        <v>685920</v>
      </c>
      <c r="L15" s="21">
        <v>273658</v>
      </c>
      <c r="M15" s="22">
        <v>367148</v>
      </c>
      <c r="N15" s="23">
        <f t="shared" si="0"/>
        <v>240779</v>
      </c>
      <c r="O15" s="24">
        <f t="shared" si="1"/>
        <v>318772</v>
      </c>
      <c r="P15" s="24">
        <f t="shared" si="2"/>
        <v>17148.127516778535</v>
      </c>
      <c r="Q15" s="24">
        <f t="shared" si="3"/>
        <v>95141.127516778535</v>
      </c>
      <c r="R15" s="24"/>
      <c r="S15" s="24"/>
      <c r="T15" s="24"/>
      <c r="U15" s="11" t="s">
        <v>31</v>
      </c>
      <c r="V15" s="82"/>
      <c r="W15" s="44" t="s">
        <v>115</v>
      </c>
      <c r="X15" s="29">
        <v>0</v>
      </c>
      <c r="Y15" s="29">
        <v>0</v>
      </c>
      <c r="Z15" s="30" t="s">
        <v>109</v>
      </c>
    </row>
    <row r="16" spans="1:29" ht="70.8" customHeight="1" x14ac:dyDescent="0.2">
      <c r="A16" s="96"/>
      <c r="B16" s="33" t="s">
        <v>47</v>
      </c>
      <c r="C16" s="8">
        <v>468269</v>
      </c>
      <c r="D16" s="8">
        <f>C16/$D$4</f>
        <v>314274.49664429529</v>
      </c>
      <c r="E16" s="9">
        <v>280961</v>
      </c>
      <c r="F16" s="8">
        <f t="shared" si="4"/>
        <v>188564.42953020133</v>
      </c>
      <c r="G16" s="10">
        <v>566404</v>
      </c>
      <c r="H16" s="10">
        <v>468269</v>
      </c>
      <c r="I16" s="10">
        <v>280961</v>
      </c>
      <c r="J16" s="21"/>
      <c r="K16" s="21"/>
      <c r="L16" s="21"/>
      <c r="M16" s="21"/>
      <c r="N16" s="23">
        <f>J16-L16</f>
        <v>0</v>
      </c>
      <c r="O16" s="24">
        <f>K16-M16</f>
        <v>0</v>
      </c>
      <c r="P16" s="24">
        <f>N16-F16</f>
        <v>-188564.42953020133</v>
      </c>
      <c r="Q16" s="24">
        <f>O16-F16</f>
        <v>-188564.42953020133</v>
      </c>
      <c r="R16" s="24"/>
      <c r="S16" s="24"/>
      <c r="T16" s="24"/>
      <c r="U16" s="11" t="s">
        <v>31</v>
      </c>
      <c r="V16" s="82"/>
      <c r="W16" s="40" t="s">
        <v>85</v>
      </c>
      <c r="X16" s="29">
        <v>0</v>
      </c>
      <c r="Y16" s="29">
        <v>0</v>
      </c>
      <c r="Z16" s="30" t="s">
        <v>109</v>
      </c>
    </row>
    <row r="17" spans="1:26" ht="64.8" customHeight="1" x14ac:dyDescent="0.2">
      <c r="A17" s="96"/>
      <c r="B17" s="33" t="s">
        <v>8</v>
      </c>
      <c r="C17" s="8">
        <v>377000</v>
      </c>
      <c r="D17" s="8">
        <f t="shared" ref="D17:D25" si="7">C17/$D$4</f>
        <v>253020.13422818793</v>
      </c>
      <c r="E17" s="9">
        <v>268250</v>
      </c>
      <c r="F17" s="8">
        <f t="shared" si="4"/>
        <v>180033.55704697987</v>
      </c>
      <c r="G17" s="10">
        <v>481634</v>
      </c>
      <c r="H17" s="10">
        <v>377000</v>
      </c>
      <c r="I17" s="10">
        <v>268250</v>
      </c>
      <c r="J17" s="21">
        <v>395035</v>
      </c>
      <c r="K17" s="21">
        <v>463442</v>
      </c>
      <c r="L17" s="22">
        <v>291270</v>
      </c>
      <c r="M17" s="22">
        <v>350279</v>
      </c>
      <c r="N17" s="23">
        <f t="shared" si="0"/>
        <v>103765</v>
      </c>
      <c r="O17" s="24">
        <f t="shared" si="1"/>
        <v>113163</v>
      </c>
      <c r="P17" s="24">
        <f t="shared" si="2"/>
        <v>-76268.557046979869</v>
      </c>
      <c r="Q17" s="24">
        <f t="shared" si="3"/>
        <v>-66870.557046979869</v>
      </c>
      <c r="R17" s="24"/>
      <c r="S17" s="24"/>
      <c r="T17" s="24"/>
      <c r="U17" s="11" t="s">
        <v>31</v>
      </c>
      <c r="V17" s="83"/>
      <c r="W17" s="44" t="s">
        <v>86</v>
      </c>
      <c r="X17" s="29">
        <v>0</v>
      </c>
      <c r="Y17" s="29">
        <v>0</v>
      </c>
      <c r="Z17" s="30" t="s">
        <v>109</v>
      </c>
    </row>
    <row r="18" spans="1:26" ht="39" customHeight="1" x14ac:dyDescent="0.2">
      <c r="A18" s="97" t="s">
        <v>50</v>
      </c>
      <c r="B18" s="33" t="s">
        <v>4</v>
      </c>
      <c r="C18" s="8">
        <v>2537633</v>
      </c>
      <c r="D18" s="8">
        <f t="shared" si="7"/>
        <v>1703109.3959731543</v>
      </c>
      <c r="E18" s="9">
        <v>1268817</v>
      </c>
      <c r="F18" s="8">
        <f t="shared" si="4"/>
        <v>851555.03355704702</v>
      </c>
      <c r="G18" s="10"/>
      <c r="H18" s="10"/>
      <c r="I18" s="10"/>
      <c r="J18" s="21"/>
      <c r="K18" s="21"/>
      <c r="L18" s="22"/>
      <c r="M18" s="22"/>
      <c r="N18" s="23">
        <f t="shared" si="0"/>
        <v>0</v>
      </c>
      <c r="O18" s="24">
        <f t="shared" si="1"/>
        <v>0</v>
      </c>
      <c r="P18" s="24">
        <f t="shared" si="2"/>
        <v>-851555.03355704702</v>
      </c>
      <c r="Q18" s="24">
        <f t="shared" si="3"/>
        <v>-851555.03355704702</v>
      </c>
      <c r="R18" s="50"/>
      <c r="S18" s="50"/>
      <c r="T18" s="50"/>
      <c r="U18" s="80" t="s">
        <v>33</v>
      </c>
      <c r="V18" s="79" t="s">
        <v>74</v>
      </c>
      <c r="W18" s="40" t="s">
        <v>70</v>
      </c>
      <c r="X18" s="29">
        <v>0</v>
      </c>
      <c r="Y18" s="29">
        <v>0</v>
      </c>
      <c r="Z18" s="29" t="s">
        <v>110</v>
      </c>
    </row>
    <row r="19" spans="1:26" ht="12.75" customHeight="1" x14ac:dyDescent="0.2">
      <c r="A19" s="97"/>
      <c r="B19" s="33" t="s">
        <v>48</v>
      </c>
      <c r="C19" s="8">
        <v>620784</v>
      </c>
      <c r="D19" s="8">
        <f t="shared" si="7"/>
        <v>416633.55704697984</v>
      </c>
      <c r="E19" s="9">
        <v>310392</v>
      </c>
      <c r="F19" s="8">
        <f t="shared" si="4"/>
        <v>208316.77852348992</v>
      </c>
      <c r="G19" s="10">
        <v>756631</v>
      </c>
      <c r="H19" s="10"/>
      <c r="I19" s="10"/>
      <c r="J19" s="21">
        <v>619291</v>
      </c>
      <c r="K19" s="21">
        <v>859897</v>
      </c>
      <c r="L19" s="22"/>
      <c r="M19" s="22"/>
      <c r="N19" s="22"/>
      <c r="O19" s="24"/>
      <c r="P19" s="24">
        <f t="shared" si="2"/>
        <v>-208316.77852348992</v>
      </c>
      <c r="Q19" s="24">
        <f t="shared" si="3"/>
        <v>-208316.77852348992</v>
      </c>
      <c r="R19" s="51"/>
      <c r="S19" s="51"/>
      <c r="T19" s="51"/>
      <c r="U19" s="81"/>
      <c r="V19" s="79"/>
      <c r="W19" s="44" t="s">
        <v>60</v>
      </c>
      <c r="X19" s="29">
        <v>160000</v>
      </c>
      <c r="Y19" s="29">
        <f>X19*Y4</f>
        <v>128000</v>
      </c>
      <c r="Z19" s="29" t="s">
        <v>102</v>
      </c>
    </row>
    <row r="20" spans="1:26" ht="66.599999999999994" customHeight="1" x14ac:dyDescent="0.2">
      <c r="A20" s="97" t="s">
        <v>51</v>
      </c>
      <c r="B20" s="33" t="s">
        <v>9</v>
      </c>
      <c r="C20" s="8">
        <v>1136825</v>
      </c>
      <c r="D20" s="8">
        <f t="shared" si="7"/>
        <v>762969.79865771811</v>
      </c>
      <c r="E20" s="9">
        <v>397889</v>
      </c>
      <c r="F20" s="8">
        <f t="shared" si="4"/>
        <v>267039.59731543623</v>
      </c>
      <c r="G20" s="10">
        <v>140740</v>
      </c>
      <c r="H20" s="10"/>
      <c r="I20" s="10"/>
      <c r="J20" s="21">
        <v>112592</v>
      </c>
      <c r="K20" s="21">
        <v>784453</v>
      </c>
      <c r="L20" s="22">
        <f>251954+51750</f>
        <v>303704</v>
      </c>
      <c r="M20" s="22">
        <v>623626</v>
      </c>
      <c r="N20" s="23">
        <f t="shared" ref="N20:O25" si="8">J20-L20</f>
        <v>-191112</v>
      </c>
      <c r="O20" s="24">
        <f t="shared" si="8"/>
        <v>160827</v>
      </c>
      <c r="P20" s="24">
        <f t="shared" si="2"/>
        <v>-458151.59731543623</v>
      </c>
      <c r="Q20" s="24">
        <f t="shared" si="3"/>
        <v>-106212.59731543623</v>
      </c>
      <c r="R20" s="24"/>
      <c r="S20" s="24"/>
      <c r="T20" s="24"/>
      <c r="U20" s="11" t="s">
        <v>32</v>
      </c>
      <c r="V20" s="87">
        <v>510426</v>
      </c>
      <c r="W20" s="44" t="s">
        <v>73</v>
      </c>
      <c r="X20" s="52">
        <f>O20</f>
        <v>160827</v>
      </c>
      <c r="Y20" s="45">
        <f>X20*Y4</f>
        <v>128661.6</v>
      </c>
      <c r="Z20" s="30" t="s">
        <v>95</v>
      </c>
    </row>
    <row r="21" spans="1:26" ht="51" customHeight="1" x14ac:dyDescent="0.2">
      <c r="A21" s="97"/>
      <c r="B21" s="33" t="s">
        <v>10</v>
      </c>
      <c r="C21" s="8">
        <v>470039</v>
      </c>
      <c r="D21" s="8">
        <f t="shared" si="7"/>
        <v>315462.41610738257</v>
      </c>
      <c r="E21" s="9">
        <v>117510</v>
      </c>
      <c r="F21" s="8">
        <f t="shared" si="4"/>
        <v>78865.771812080537</v>
      </c>
      <c r="G21" s="10">
        <v>565206</v>
      </c>
      <c r="H21" s="10"/>
      <c r="I21" s="10"/>
      <c r="J21" s="21">
        <v>455606</v>
      </c>
      <c r="K21" s="21">
        <v>581920</v>
      </c>
      <c r="L21" s="22">
        <v>283784</v>
      </c>
      <c r="M21" s="22">
        <v>378356</v>
      </c>
      <c r="N21" s="23">
        <f t="shared" si="8"/>
        <v>171822</v>
      </c>
      <c r="O21" s="24">
        <f t="shared" si="8"/>
        <v>203564</v>
      </c>
      <c r="P21" s="24">
        <f t="shared" si="2"/>
        <v>92956.228187919463</v>
      </c>
      <c r="Q21" s="24">
        <f t="shared" si="3"/>
        <v>124698.22818791946</v>
      </c>
      <c r="R21" s="24"/>
      <c r="S21" s="24"/>
      <c r="T21" s="24"/>
      <c r="U21" s="11" t="s">
        <v>32</v>
      </c>
      <c r="V21" s="88"/>
      <c r="W21" s="44" t="s">
        <v>58</v>
      </c>
      <c r="X21" s="29">
        <v>0</v>
      </c>
      <c r="Y21" s="29">
        <v>0</v>
      </c>
      <c r="Z21" s="30" t="s">
        <v>112</v>
      </c>
    </row>
    <row r="22" spans="1:26" ht="25.8" customHeight="1" x14ac:dyDescent="0.2">
      <c r="A22" s="35" t="s">
        <v>53</v>
      </c>
      <c r="B22" s="33" t="s">
        <v>11</v>
      </c>
      <c r="C22" s="8">
        <v>319344</v>
      </c>
      <c r="D22" s="8">
        <f t="shared" si="7"/>
        <v>214324.83221476511</v>
      </c>
      <c r="E22" s="9">
        <v>61486</v>
      </c>
      <c r="F22" s="8">
        <f t="shared" si="4"/>
        <v>41265.771812080537</v>
      </c>
      <c r="G22" s="10" t="s">
        <v>24</v>
      </c>
      <c r="H22" s="10"/>
      <c r="I22" s="10"/>
      <c r="J22" s="21"/>
      <c r="K22" s="21"/>
      <c r="L22" s="22">
        <f>138603+138604</f>
        <v>277207</v>
      </c>
      <c r="M22" s="22">
        <v>693760</v>
      </c>
      <c r="N22" s="23">
        <f t="shared" si="8"/>
        <v>-277207</v>
      </c>
      <c r="O22" s="24">
        <f t="shared" si="8"/>
        <v>-693760</v>
      </c>
      <c r="P22" s="24">
        <f t="shared" si="2"/>
        <v>-318472.77181208052</v>
      </c>
      <c r="Q22" s="24">
        <f t="shared" si="3"/>
        <v>-735025.77181208052</v>
      </c>
      <c r="R22" s="24"/>
      <c r="S22" s="24"/>
      <c r="T22" s="24"/>
      <c r="U22" s="11" t="s">
        <v>113</v>
      </c>
      <c r="V22" s="14">
        <v>69954</v>
      </c>
      <c r="W22" s="44"/>
      <c r="X22" s="69">
        <f>F22</f>
        <v>41265.771812080537</v>
      </c>
      <c r="Y22" s="70">
        <f>X22*Y4</f>
        <v>33012.617449664431</v>
      </c>
      <c r="Z22" s="29" t="s">
        <v>103</v>
      </c>
    </row>
    <row r="23" spans="1:26" ht="233.4" customHeight="1" x14ac:dyDescent="0.2">
      <c r="A23" s="93" t="s">
        <v>52</v>
      </c>
      <c r="B23" s="33" t="s">
        <v>14</v>
      </c>
      <c r="C23" s="8">
        <v>4495000</v>
      </c>
      <c r="D23" s="8">
        <f t="shared" si="7"/>
        <v>3016778.523489933</v>
      </c>
      <c r="E23" s="9">
        <v>1123750</v>
      </c>
      <c r="F23" s="8">
        <f t="shared" si="4"/>
        <v>754194.63087248325</v>
      </c>
      <c r="G23" s="10">
        <f>157736+127827+97669+159717+112884+98550+123718+12571+215301+243411+95486+183185+73148+126363+131248+105789+148376+239362+70822+297877+363812+472343+168819</f>
        <v>3826014</v>
      </c>
      <c r="H23" s="10"/>
      <c r="I23" s="10"/>
      <c r="J23" s="21">
        <v>3130216</v>
      </c>
      <c r="K23" s="21">
        <v>3515640</v>
      </c>
      <c r="L23" s="22">
        <v>2943183</v>
      </c>
      <c r="M23" s="22">
        <v>3762853</v>
      </c>
      <c r="N23" s="23">
        <f t="shared" si="8"/>
        <v>187033</v>
      </c>
      <c r="O23" s="24">
        <f t="shared" si="8"/>
        <v>-247213</v>
      </c>
      <c r="P23" s="24">
        <f t="shared" si="2"/>
        <v>-567161.63087248325</v>
      </c>
      <c r="Q23" s="24">
        <f t="shared" si="3"/>
        <v>-1001407.6308724832</v>
      </c>
      <c r="R23" s="24"/>
      <c r="S23" s="24">
        <f>146190+136810+166939+96521+179256+104267+256662+456684+ 0.05*(947124+730552+609176+370235+1086259+309754+578014+367148+1027113)</f>
        <v>1844597.75</v>
      </c>
      <c r="T23" s="24">
        <f>125208+99877+148409+78559+154991+171047+200842+395709</f>
        <v>1374642</v>
      </c>
      <c r="U23" s="11" t="s">
        <v>30</v>
      </c>
      <c r="V23" s="14">
        <v>3388019</v>
      </c>
      <c r="W23" s="44" t="s">
        <v>77</v>
      </c>
      <c r="X23" s="31">
        <f>S23-T23</f>
        <v>469955.75</v>
      </c>
      <c r="Y23" s="31">
        <f>X23*$Y$4</f>
        <v>375964.60000000003</v>
      </c>
      <c r="Z23" s="30" t="s">
        <v>101</v>
      </c>
    </row>
    <row r="24" spans="1:26" ht="141.6" customHeight="1" x14ac:dyDescent="0.2">
      <c r="A24" s="93"/>
      <c r="B24" s="33" t="s">
        <v>15</v>
      </c>
      <c r="C24" s="8">
        <v>29987476</v>
      </c>
      <c r="D24" s="8">
        <f t="shared" si="7"/>
        <v>20125822.818791948</v>
      </c>
      <c r="E24" s="9">
        <v>7496869</v>
      </c>
      <c r="F24" s="8">
        <f t="shared" si="4"/>
        <v>5031455.7046979871</v>
      </c>
      <c r="G24" s="10">
        <f>848013+847786+1170548+140740+452146+872732+444163+403387+481634+566404+371605+805640+413233+533966+565206+887876+399803+270438+686863+365154+237848+632234+1132418+124150+307690+869342+746249+1304651+352017+789193+1131877+791806+411618</f>
        <v>20358430</v>
      </c>
      <c r="H24" s="10"/>
      <c r="I24" s="10"/>
      <c r="J24" s="21">
        <v>16594830</v>
      </c>
      <c r="K24" s="21">
        <v>21273568</v>
      </c>
      <c r="L24" s="22">
        <v>13134939</v>
      </c>
      <c r="M24" s="22">
        <v>18447163</v>
      </c>
      <c r="N24" s="23">
        <f t="shared" si="8"/>
        <v>3459891</v>
      </c>
      <c r="O24" s="24">
        <f t="shared" si="8"/>
        <v>2826405</v>
      </c>
      <c r="P24" s="24">
        <f t="shared" si="2"/>
        <v>-1571564.7046979871</v>
      </c>
      <c r="Q24" s="24">
        <f t="shared" si="3"/>
        <v>-2205050.7046979871</v>
      </c>
      <c r="R24" s="24"/>
      <c r="S24" s="24">
        <f>807933+705059+455325+887387+762486+408495+788218+292028+516976+721623+822874+758815+751581+1184811</f>
        <v>9863611</v>
      </c>
      <c r="T24" s="24">
        <f>639864+618893+399165+675944+343053+689751+242169+465532+700924+893286+634117+719019+897089</f>
        <v>7918806</v>
      </c>
      <c r="U24" s="11" t="s">
        <v>29</v>
      </c>
      <c r="V24" s="14">
        <v>11316289</v>
      </c>
      <c r="W24" s="44" t="s">
        <v>78</v>
      </c>
      <c r="X24" s="45">
        <f>S24-T24</f>
        <v>1944805</v>
      </c>
      <c r="Y24" s="31">
        <f t="shared" ref="Y24" si="9">X24*$Y$4</f>
        <v>1555844</v>
      </c>
      <c r="Z24" s="30" t="s">
        <v>100</v>
      </c>
    </row>
    <row r="25" spans="1:26" ht="91.8" customHeight="1" x14ac:dyDescent="0.2">
      <c r="A25" s="36" t="s">
        <v>54</v>
      </c>
      <c r="B25" s="33" t="s">
        <v>16</v>
      </c>
      <c r="C25" s="8">
        <v>58000000</v>
      </c>
      <c r="D25" s="8">
        <f t="shared" si="7"/>
        <v>38926174.496644296</v>
      </c>
      <c r="E25" s="9">
        <v>5800000</v>
      </c>
      <c r="F25" s="8">
        <f t="shared" si="4"/>
        <v>3892617.4496644298</v>
      </c>
      <c r="G25" s="10">
        <v>36075255</v>
      </c>
      <c r="H25" s="10"/>
      <c r="I25" s="10"/>
      <c r="J25" s="21">
        <v>34415274</v>
      </c>
      <c r="K25" s="21">
        <v>42841991</v>
      </c>
      <c r="L25" s="22">
        <v>27952568</v>
      </c>
      <c r="M25" s="22">
        <v>41370938</v>
      </c>
      <c r="N25" s="23">
        <f t="shared" si="8"/>
        <v>6462706</v>
      </c>
      <c r="O25" s="24">
        <f t="shared" si="8"/>
        <v>1471053</v>
      </c>
      <c r="P25" s="24">
        <f t="shared" si="2"/>
        <v>2570088.5503355702</v>
      </c>
      <c r="Q25" s="24">
        <f t="shared" si="3"/>
        <v>-2421564.4496644298</v>
      </c>
      <c r="R25" s="24"/>
      <c r="S25" s="24"/>
      <c r="T25" s="24"/>
      <c r="U25" s="11" t="s">
        <v>28</v>
      </c>
      <c r="V25" s="15">
        <f>2061394+6061938</f>
        <v>8123332</v>
      </c>
      <c r="W25" s="44" t="s">
        <v>79</v>
      </c>
      <c r="X25" s="31">
        <v>0</v>
      </c>
      <c r="Y25" s="31">
        <v>0</v>
      </c>
      <c r="Z25" s="30" t="s">
        <v>111</v>
      </c>
    </row>
    <row r="26" spans="1:26" ht="84.6" customHeight="1" x14ac:dyDescent="0.2">
      <c r="A26" s="37"/>
      <c r="B26" s="33" t="s">
        <v>18</v>
      </c>
      <c r="C26" s="8"/>
      <c r="D26" s="8"/>
      <c r="E26" s="9">
        <f>SUM(E7:E25)</f>
        <v>21023883</v>
      </c>
      <c r="F26" s="9">
        <f>SUM(F7:F25)</f>
        <v>14109988.590604026</v>
      </c>
      <c r="G26" s="10"/>
      <c r="H26" s="10"/>
      <c r="I26" s="10"/>
      <c r="J26" s="21"/>
      <c r="K26" s="21"/>
      <c r="L26" s="22"/>
      <c r="M26" s="22"/>
      <c r="N26" s="23">
        <f>J26-L26</f>
        <v>0</v>
      </c>
      <c r="O26" s="22"/>
      <c r="P26" s="25"/>
      <c r="Q26" s="25"/>
      <c r="R26" s="25"/>
      <c r="S26" s="25"/>
      <c r="T26" s="25"/>
      <c r="U26" s="11"/>
      <c r="V26" s="13"/>
      <c r="W26" s="44"/>
      <c r="X26" s="45">
        <f>SUM(X7:X25)</f>
        <v>3784952.2972767241</v>
      </c>
      <c r="Y26" s="45">
        <f>SUM(Y7:Y25)</f>
        <v>2624722.327635522</v>
      </c>
      <c r="Z26" s="29"/>
    </row>
    <row r="27" spans="1:26" ht="136.80000000000001" customHeight="1" x14ac:dyDescent="0.2">
      <c r="C27" s="91" t="s">
        <v>22</v>
      </c>
      <c r="D27" s="91"/>
      <c r="E27" s="91"/>
      <c r="F27" s="91"/>
      <c r="G27" s="6" t="s">
        <v>23</v>
      </c>
      <c r="H27" s="7">
        <f>SUM(H7:H26)</f>
        <v>2154702</v>
      </c>
      <c r="L27" s="32">
        <f>L25/K25</f>
        <v>0.65245725858072279</v>
      </c>
    </row>
  </sheetData>
  <sheetProtection algorithmName="SHA-512" hashValue="NgYg4ec3o7i+8JaYzdYJ/08LmdpsZhlV8u8AF4p9WLvI87Ilg6fGtLIMj98On6pkjdxmCaMdMbUlBD0JwlgFUg==" saltValue="GTu9FYymXr1Z7gKD7bmabQ==" spinCount="100000" sheet="1" objects="1" scenarios="1"/>
  <mergeCells count="17">
    <mergeCell ref="C5:F5"/>
    <mergeCell ref="C27:F27"/>
    <mergeCell ref="G5:I5"/>
    <mergeCell ref="A23:A24"/>
    <mergeCell ref="A7:A12"/>
    <mergeCell ref="A13:A17"/>
    <mergeCell ref="A18:A19"/>
    <mergeCell ref="A20:A21"/>
    <mergeCell ref="V18:V19"/>
    <mergeCell ref="U18:U19"/>
    <mergeCell ref="V14:V17"/>
    <mergeCell ref="J5:Q5"/>
    <mergeCell ref="V20:V21"/>
    <mergeCell ref="V10:V12"/>
    <mergeCell ref="V7:V9"/>
    <mergeCell ref="U7:U9"/>
    <mergeCell ref="U10:U12"/>
  </mergeCells>
  <phoneticPr fontId="2" type="noConversion"/>
  <pageMargins left="0.23622047244094491" right="0.23622047244094491" top="0.74803149606299213" bottom="0.74803149606299213" header="0.31496062992125984" footer="0.31496062992125984"/>
  <pageSetup paperSize="9" fitToWidth="0" fitToHeight="0" orientation="landscape" r:id="rId1"/>
  <headerFooter>
    <oddHeader xml:space="preserve">&amp;L&amp;G&amp;R&amp;18 </oddHeader>
    <oddFooter>&amp;C&amp;"Verdana,Regular"&amp;8&amp;P / &amp;K000000&amp;N</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4:AL28"/>
  <sheetViews>
    <sheetView showRuler="0" topLeftCell="B1" zoomScaleNormal="100" zoomScaleSheetLayoutView="400" zoomScalePageLayoutView="55" workbookViewId="0">
      <selection activeCell="G5" sqref="G5"/>
    </sheetView>
  </sheetViews>
  <sheetFormatPr baseColWidth="10" defaultColWidth="9.09765625" defaultRowHeight="12.75" customHeight="1" x14ac:dyDescent="0.2"/>
  <cols>
    <col min="1" max="1" width="48.5" style="1" customWidth="1"/>
    <col min="2" max="2" width="13.5" style="1" customWidth="1"/>
    <col min="3" max="3" width="12.5" style="1" customWidth="1"/>
    <col min="4" max="4" width="13.3984375" style="1" bestFit="1" customWidth="1"/>
    <col min="5" max="5" width="11" style="1" customWidth="1"/>
    <col min="6" max="6" width="10.3984375" style="1" customWidth="1"/>
    <col min="7" max="7" width="68.19921875" style="2" customWidth="1"/>
    <col min="8" max="16384" width="9.09765625" style="1"/>
  </cols>
  <sheetData>
    <row r="4" spans="1:38" ht="46.2" customHeight="1" x14ac:dyDescent="0.2">
      <c r="A4" s="35" t="str">
        <f>Samleark!B6</f>
        <v>Navn på tiltak</v>
      </c>
      <c r="B4" s="55" t="str">
        <f>Samleark!E6</f>
        <v xml:space="preserve">Beregnet årlig besparelse [kr] </v>
      </c>
      <c r="C4" s="55" t="str">
        <f>Samleark!F6</f>
        <v xml:space="preserve">Beregnet årlig besparelse kWh </v>
      </c>
      <c r="D4" s="55" t="str">
        <f>Samleark!Y6</f>
        <v>Korrigert besparelse kr</v>
      </c>
      <c r="E4" s="55" t="s">
        <v>105</v>
      </c>
      <c r="F4" s="55" t="s">
        <v>104</v>
      </c>
      <c r="G4" s="55" t="str">
        <f>Samleark!Z6</f>
        <v>Kommentar</v>
      </c>
      <c r="X4" s="1">
        <f>Samleark!AO6</f>
        <v>0</v>
      </c>
      <c r="Y4" s="1">
        <f>Samleark!AP6</f>
        <v>0</v>
      </c>
      <c r="Z4" s="1">
        <f>Samleark!AQ6</f>
        <v>0</v>
      </c>
      <c r="AA4" s="1">
        <f>Samleark!AR6</f>
        <v>0</v>
      </c>
      <c r="AB4" s="1">
        <f>Samleark!AS6</f>
        <v>0</v>
      </c>
      <c r="AC4" s="1">
        <f>Samleark!AT6</f>
        <v>0</v>
      </c>
      <c r="AD4" s="1">
        <f>Samleark!AU6</f>
        <v>0</v>
      </c>
      <c r="AE4" s="1">
        <f>Samleark!AV6</f>
        <v>0</v>
      </c>
      <c r="AF4" s="1">
        <f>Samleark!AW6</f>
        <v>0</v>
      </c>
      <c r="AG4" s="1">
        <f>Samleark!AX6</f>
        <v>0</v>
      </c>
      <c r="AH4" s="1">
        <f>Samleark!AY6</f>
        <v>0</v>
      </c>
      <c r="AI4" s="1">
        <f>Samleark!AZ6</f>
        <v>0</v>
      </c>
      <c r="AJ4" s="1">
        <f>Samleark!BA6</f>
        <v>0</v>
      </c>
      <c r="AK4" s="1">
        <f>Samleark!BB6</f>
        <v>0</v>
      </c>
      <c r="AL4" s="1">
        <f>Samleark!BC6</f>
        <v>0</v>
      </c>
    </row>
    <row r="5" spans="1:38" ht="41.4" customHeight="1" x14ac:dyDescent="0.2">
      <c r="A5" s="3" t="str">
        <f>Samleark!B7</f>
        <v xml:space="preserve">ENØK- Prosjekt rørsystem for varmedistribusjon Lunde boas </v>
      </c>
      <c r="B5" s="71">
        <f>Samleark!E7</f>
        <v>246239</v>
      </c>
      <c r="C5" s="71">
        <f>Samleark!F7</f>
        <v>165261.07382550335</v>
      </c>
      <c r="D5" s="71">
        <f>Samleark!Y7</f>
        <v>79085.501201371037</v>
      </c>
      <c r="E5" s="71">
        <f>Samleark!X7</f>
        <v>197713.75300342758</v>
      </c>
      <c r="F5" s="76">
        <f>E5</f>
        <v>197713.75300342758</v>
      </c>
      <c r="G5" s="56" t="str">
        <f>Samleark!Z7</f>
        <v>For dette tiltaket er det snakk om konvertering av kWh fra fossilt/direkte elektrisk til bioenergi. Konverterte kWh og kronebesparelse knyttes til rør og ikke energisentral. Dette for å beholde sporbarhet tilbake til bygg og unngå dobbelføring av gevinst</v>
      </c>
      <c r="X5" s="1">
        <f>Samleark!AO7</f>
        <v>0</v>
      </c>
      <c r="Y5" s="1">
        <f>Samleark!AP7</f>
        <v>0</v>
      </c>
      <c r="Z5" s="1">
        <f>Samleark!AQ7</f>
        <v>0</v>
      </c>
      <c r="AA5" s="1">
        <f>Samleark!AR7</f>
        <v>0</v>
      </c>
      <c r="AB5" s="1">
        <f>Samleark!AS7</f>
        <v>0</v>
      </c>
      <c r="AC5" s="1">
        <f>Samleark!AT7</f>
        <v>0</v>
      </c>
      <c r="AD5" s="1">
        <f>Samleark!AU7</f>
        <v>0</v>
      </c>
      <c r="AE5" s="1">
        <f>Samleark!AV7</f>
        <v>0</v>
      </c>
      <c r="AF5" s="1">
        <f>Samleark!AW7</f>
        <v>0</v>
      </c>
      <c r="AG5" s="1">
        <f>Samleark!AX7</f>
        <v>0</v>
      </c>
      <c r="AH5" s="1">
        <f>Samleark!AY7</f>
        <v>0</v>
      </c>
      <c r="AI5" s="1">
        <f>Samleark!AZ7</f>
        <v>0</v>
      </c>
      <c r="AJ5" s="1">
        <f>Samleark!BA7</f>
        <v>0</v>
      </c>
      <c r="AK5" s="1">
        <f>Samleark!BB7</f>
        <v>0</v>
      </c>
      <c r="AL5" s="1">
        <f>Samleark!BC7</f>
        <v>0</v>
      </c>
    </row>
    <row r="6" spans="1:38" ht="24.6" customHeight="1" x14ac:dyDescent="0.2">
      <c r="A6" s="3" t="str">
        <f>Samleark!B8</f>
        <v xml:space="preserve">ENØK- Prosjekt rørsystem for varmedistribusjon Sørbø hallen </v>
      </c>
      <c r="B6" s="71">
        <f>Samleark!E8</f>
        <v>176488</v>
      </c>
      <c r="C6" s="71">
        <f>Samleark!F8</f>
        <v>118448.32214765101</v>
      </c>
      <c r="D6" s="71">
        <f>Samleark!Y8</f>
        <v>55932.671862122224</v>
      </c>
      <c r="E6" s="71">
        <f>Samleark!X8</f>
        <v>139831.67965530555</v>
      </c>
      <c r="F6" s="76">
        <f t="shared" ref="F6:F15" si="0">E6</f>
        <v>139831.67965530555</v>
      </c>
      <c r="G6" s="56" t="str">
        <f>Samleark!Z8</f>
        <v>For dette tiltaket er det snakk om konvertering av kWh fra fossilt/direkte elektrisk til bioenergi. Konverterte kWh og kronebesparelse knyttes til rør og ikke energisentral. Dette for å beholde sporbarhet tilbake til bygg og unngå dobbelføring av gevinst</v>
      </c>
      <c r="X6" s="1">
        <f>Samleark!AO8</f>
        <v>0</v>
      </c>
      <c r="Y6" s="1">
        <f>Samleark!AP8</f>
        <v>0</v>
      </c>
      <c r="Z6" s="1">
        <f>Samleark!AQ8</f>
        <v>0</v>
      </c>
      <c r="AA6" s="1">
        <f>Samleark!AR8</f>
        <v>0</v>
      </c>
      <c r="AB6" s="1">
        <f>Samleark!AS8</f>
        <v>0</v>
      </c>
      <c r="AC6" s="1">
        <f>Samleark!AT8</f>
        <v>0</v>
      </c>
      <c r="AD6" s="1">
        <f>Samleark!AU8</f>
        <v>0</v>
      </c>
      <c r="AE6" s="1">
        <f>Samleark!AV8</f>
        <v>0</v>
      </c>
      <c r="AF6" s="1">
        <f>Samleark!AW8</f>
        <v>0</v>
      </c>
      <c r="AG6" s="1">
        <f>Samleark!AX8</f>
        <v>0</v>
      </c>
      <c r="AH6" s="1">
        <f>Samleark!AY8</f>
        <v>0</v>
      </c>
      <c r="AI6" s="1">
        <f>Samleark!AZ8</f>
        <v>0</v>
      </c>
      <c r="AJ6" s="1">
        <f>Samleark!BA8</f>
        <v>0</v>
      </c>
      <c r="AK6" s="1">
        <f>Samleark!BB8</f>
        <v>0</v>
      </c>
      <c r="AL6" s="1">
        <f>Samleark!BC8</f>
        <v>0</v>
      </c>
    </row>
    <row r="7" spans="1:38" ht="24" customHeight="1" x14ac:dyDescent="0.2">
      <c r="A7" s="3" t="str">
        <f>Samleark!B9</f>
        <v xml:space="preserve">ENØK- Prosjekt rørsystem for varmedistribusjon Sørbø skole </v>
      </c>
      <c r="B7" s="71">
        <f>Samleark!E9</f>
        <v>125428</v>
      </c>
      <c r="C7" s="71">
        <f>Samleark!F9</f>
        <v>84179.865771812081</v>
      </c>
      <c r="D7" s="71">
        <f>Samleark!Y9</f>
        <v>118471.71192236413</v>
      </c>
      <c r="E7" s="71">
        <f>Samleark!X9</f>
        <v>296179.27980591031</v>
      </c>
      <c r="F7" s="76">
        <f t="shared" si="0"/>
        <v>296179.27980591031</v>
      </c>
      <c r="G7" s="56" t="str">
        <f>Samleark!Z9</f>
        <v>For dette tiltaket er det snakk om konvertering av kWh fra fossilt/direkte elektrisk til bioenergi. Konverterte kWh og kronebesparelse knyttes til rør og ikke energisentral. Dette for å beholde sporbarhet tilbake til bygg og unngå dobbelføring av gevinst</v>
      </c>
      <c r="X7" s="1">
        <f>Samleark!AO9</f>
        <v>0</v>
      </c>
      <c r="Y7" s="1">
        <f>Samleark!AP9</f>
        <v>0</v>
      </c>
      <c r="Z7" s="1">
        <f>Samleark!AQ9</f>
        <v>0</v>
      </c>
      <c r="AA7" s="1">
        <f>Samleark!AR9</f>
        <v>0</v>
      </c>
      <c r="AB7" s="1">
        <f>Samleark!AS9</f>
        <v>0</v>
      </c>
      <c r="AC7" s="1">
        <f>Samleark!AT9</f>
        <v>0</v>
      </c>
      <c r="AD7" s="1">
        <f>Samleark!AU9</f>
        <v>0</v>
      </c>
      <c r="AE7" s="1">
        <f>Samleark!AV9</f>
        <v>0</v>
      </c>
      <c r="AF7" s="1">
        <f>Samleark!AW9</f>
        <v>0</v>
      </c>
      <c r="AG7" s="1">
        <f>Samleark!AX9</f>
        <v>0</v>
      </c>
      <c r="AH7" s="1">
        <f>Samleark!AY9</f>
        <v>0</v>
      </c>
      <c r="AI7" s="1">
        <f>Samleark!AZ9</f>
        <v>0</v>
      </c>
      <c r="AJ7" s="1">
        <f>Samleark!BA9</f>
        <v>0</v>
      </c>
      <c r="AK7" s="1">
        <f>Samleark!BB9</f>
        <v>0</v>
      </c>
      <c r="AL7" s="1">
        <f>Samleark!BC9</f>
        <v>0</v>
      </c>
    </row>
    <row r="8" spans="1:38" ht="34.799999999999997" customHeight="1" x14ac:dyDescent="0.2">
      <c r="A8" s="3" t="str">
        <f>Samleark!B10</f>
        <v xml:space="preserve">rørsystem for varmedistribusjon Høyland </v>
      </c>
      <c r="B8" s="71">
        <f>Samleark!E10</f>
        <v>572460</v>
      </c>
      <c r="C8" s="71">
        <f>Samleark!F10</f>
        <v>384201.34228187922</v>
      </c>
      <c r="D8" s="71">
        <f>Samleark!Y10</f>
        <v>0</v>
      </c>
      <c r="E8" s="71">
        <f>Samleark!X10</f>
        <v>0</v>
      </c>
      <c r="F8" s="76">
        <f t="shared" si="0"/>
        <v>0</v>
      </c>
      <c r="G8" s="56" t="str">
        <f>Samleark!Z10</f>
        <v>For dette tiltaket er det snakk om konvertering av kWh fra fossilt/direkte elektrisk til bioenergi. Konverterte kWh og kronebesparelse knyttes til rør og ikke energisentral. Dette for å beholde sporbarhet tilbake til bygg og unngå dobbelføring av gevinst</v>
      </c>
      <c r="X8" s="1">
        <f>Samleark!AO10</f>
        <v>0</v>
      </c>
      <c r="Y8" s="1">
        <f>Samleark!AP10</f>
        <v>0</v>
      </c>
      <c r="Z8" s="1">
        <f>Samleark!AQ10</f>
        <v>0</v>
      </c>
      <c r="AA8" s="1">
        <f>Samleark!AR10</f>
        <v>0</v>
      </c>
      <c r="AB8" s="1">
        <f>Samleark!AS10</f>
        <v>0</v>
      </c>
      <c r="AC8" s="1">
        <f>Samleark!AT10</f>
        <v>0</v>
      </c>
      <c r="AD8" s="1">
        <f>Samleark!AU10</f>
        <v>0</v>
      </c>
      <c r="AE8" s="1">
        <f>Samleark!AV10</f>
        <v>0</v>
      </c>
      <c r="AF8" s="1">
        <f>Samleark!AW10</f>
        <v>0</v>
      </c>
      <c r="AG8" s="1">
        <f>Samleark!AX10</f>
        <v>0</v>
      </c>
      <c r="AH8" s="1">
        <f>Samleark!AY10</f>
        <v>0</v>
      </c>
      <c r="AI8" s="1">
        <f>Samleark!AZ10</f>
        <v>0</v>
      </c>
      <c r="AJ8" s="1">
        <f>Samleark!BA10</f>
        <v>0</v>
      </c>
      <c r="AK8" s="1">
        <f>Samleark!BB10</f>
        <v>0</v>
      </c>
      <c r="AL8" s="1">
        <f>Samleark!BC10</f>
        <v>0</v>
      </c>
    </row>
    <row r="9" spans="1:38" ht="37.799999999999997" customHeight="1" x14ac:dyDescent="0.2">
      <c r="A9" s="3" t="str">
        <f>Samleark!B11</f>
        <v xml:space="preserve">rørsystem for varmedistribusjon Iglemyr </v>
      </c>
      <c r="B9" s="71">
        <f>Samleark!E11</f>
        <v>196673</v>
      </c>
      <c r="C9" s="71">
        <f>Samleark!F11</f>
        <v>131995.30201342283</v>
      </c>
      <c r="D9" s="71">
        <f>Samleark!Y11</f>
        <v>100888.42519999994</v>
      </c>
      <c r="E9" s="71">
        <f>Samleark!X11</f>
        <v>252221.06299999985</v>
      </c>
      <c r="F9" s="76">
        <f t="shared" si="0"/>
        <v>252221.06299999985</v>
      </c>
      <c r="G9" s="56" t="str">
        <f>Samleark!Z11</f>
        <v>For dette tiltaket er det snakk om konvertering av kWh fra fossilt/direkte elektrisk til bioenergi. Konverterte kWh og kronebesparelse knyttes til rør og ikke energisentral. Dette for å beholde sporbarhet tilbake til bygg og unngå dobbelføring av gevinst</v>
      </c>
      <c r="X9" s="1">
        <f>Samleark!AO11</f>
        <v>0</v>
      </c>
      <c r="Y9" s="1">
        <f>Samleark!AP11</f>
        <v>0</v>
      </c>
      <c r="Z9" s="1">
        <f>Samleark!AQ11</f>
        <v>0</v>
      </c>
      <c r="AA9" s="1">
        <f>Samleark!AR11</f>
        <v>0</v>
      </c>
      <c r="AB9" s="1">
        <f>Samleark!AS11</f>
        <v>0</v>
      </c>
      <c r="AC9" s="1">
        <f>Samleark!AT11</f>
        <v>0</v>
      </c>
      <c r="AD9" s="1">
        <f>Samleark!AU11</f>
        <v>0</v>
      </c>
      <c r="AE9" s="1">
        <f>Samleark!AV11</f>
        <v>0</v>
      </c>
      <c r="AF9" s="1">
        <f>Samleark!AW11</f>
        <v>0</v>
      </c>
      <c r="AG9" s="1">
        <f>Samleark!AX11</f>
        <v>0</v>
      </c>
      <c r="AH9" s="1">
        <f>Samleark!AY11</f>
        <v>0</v>
      </c>
      <c r="AI9" s="1">
        <f>Samleark!AZ11</f>
        <v>0</v>
      </c>
      <c r="AJ9" s="1">
        <f>Samleark!BA11</f>
        <v>0</v>
      </c>
      <c r="AK9" s="1">
        <f>Samleark!BB11</f>
        <v>0</v>
      </c>
      <c r="AL9" s="1">
        <f>Samleark!BC11</f>
        <v>0</v>
      </c>
    </row>
    <row r="10" spans="1:38" ht="35.4" customHeight="1" x14ac:dyDescent="0.2">
      <c r="A10" s="3" t="str">
        <f>Samleark!B12</f>
        <v xml:space="preserve">rørsystem for varmedistribusjon Austrått </v>
      </c>
      <c r="B10" s="71">
        <f>Samleark!E12</f>
        <v>272431</v>
      </c>
      <c r="C10" s="71">
        <f>Samleark!F12</f>
        <v>182839.59731543623</v>
      </c>
      <c r="D10" s="71">
        <f>Samleark!Y12</f>
        <v>48861.199999999968</v>
      </c>
      <c r="E10" s="71">
        <f>Samleark!X12</f>
        <v>122152.99999999991</v>
      </c>
      <c r="F10" s="76">
        <f t="shared" si="0"/>
        <v>122152.99999999991</v>
      </c>
      <c r="G10" s="56" t="str">
        <f>Samleark!Z12</f>
        <v>For dette tiltaket er det snakk om konvertering av kWh fra fossilt/direkte elektrisk til bioenergi. Konverterte kWh og kronebesparelse knyttes til rør og ikke energisentral. Dette for å beholde sporbarhet tilbake til bygg og unngå dobbelføring av gevinst</v>
      </c>
      <c r="X10" s="1">
        <f>Samleark!AO12</f>
        <v>0</v>
      </c>
      <c r="Y10" s="1">
        <f>Samleark!AP12</f>
        <v>0</v>
      </c>
      <c r="Z10" s="1">
        <f>Samleark!AQ12</f>
        <v>0</v>
      </c>
      <c r="AA10" s="1">
        <f>Samleark!AR12</f>
        <v>0</v>
      </c>
      <c r="AB10" s="1">
        <f>Samleark!AS12</f>
        <v>0</v>
      </c>
      <c r="AC10" s="1">
        <f>Samleark!AT12</f>
        <v>0</v>
      </c>
      <c r="AD10" s="1">
        <f>Samleark!AU12</f>
        <v>0</v>
      </c>
      <c r="AE10" s="1">
        <f>Samleark!AV12</f>
        <v>0</v>
      </c>
      <c r="AF10" s="1">
        <f>Samleark!AW12</f>
        <v>0</v>
      </c>
      <c r="AG10" s="1">
        <f>Samleark!AX12</f>
        <v>0</v>
      </c>
      <c r="AH10" s="1">
        <f>Samleark!AY12</f>
        <v>0</v>
      </c>
      <c r="AI10" s="1">
        <f>Samleark!AZ12</f>
        <v>0</v>
      </c>
      <c r="AJ10" s="1">
        <f>Samleark!BA12</f>
        <v>0</v>
      </c>
      <c r="AK10" s="1">
        <f>Samleark!BB12</f>
        <v>0</v>
      </c>
      <c r="AL10" s="1">
        <f>Samleark!BC12</f>
        <v>0</v>
      </c>
    </row>
    <row r="11" spans="1:38" ht="32.4" customHeight="1" x14ac:dyDescent="0.2">
      <c r="A11" s="3" t="str">
        <f>Samleark!B13</f>
        <v xml:space="preserve">ENØK- Prosjekt lokal varmesentral Lunde/ Sørbø </v>
      </c>
      <c r="B11" s="71">
        <f>Samleark!E13</f>
        <v>1522580</v>
      </c>
      <c r="C11" s="71">
        <f>Samleark!F13</f>
        <v>1021865.7718120805</v>
      </c>
      <c r="D11" s="71">
        <f>Samleark!Y13</f>
        <v>0</v>
      </c>
      <c r="E11" s="71">
        <f>Samleark!X13</f>
        <v>0</v>
      </c>
      <c r="F11" s="76">
        <f t="shared" si="0"/>
        <v>0</v>
      </c>
      <c r="G11" s="56" t="str">
        <f>Samleark!Z13</f>
        <v>For dette tiltaket er det snakk om konvertering av kWh fra fossilt/direkte elektrisk til bioenergi. Konverterte kWh og kronebesparelse knyttes til rør og ikke energisentral. Dette for å beholde sporbarhet tilbake til bygg og unngå dobbelføring av gevinst</v>
      </c>
      <c r="X11" s="1">
        <f>Samleark!AO13</f>
        <v>0</v>
      </c>
      <c r="Y11" s="1">
        <f>Samleark!AP13</f>
        <v>0</v>
      </c>
      <c r="Z11" s="1">
        <f>Samleark!AQ13</f>
        <v>0</v>
      </c>
      <c r="AA11" s="1">
        <f>Samleark!AR13</f>
        <v>0</v>
      </c>
      <c r="AB11" s="1">
        <f>Samleark!AS13</f>
        <v>0</v>
      </c>
      <c r="AC11" s="1">
        <f>Samleark!AT13</f>
        <v>0</v>
      </c>
      <c r="AD11" s="1">
        <f>Samleark!AU13</f>
        <v>0</v>
      </c>
      <c r="AE11" s="1">
        <f>Samleark!AV13</f>
        <v>0</v>
      </c>
      <c r="AF11" s="1">
        <f>Samleark!AW13</f>
        <v>0</v>
      </c>
      <c r="AG11" s="1">
        <f>Samleark!AX13</f>
        <v>0</v>
      </c>
      <c r="AH11" s="1">
        <f>Samleark!AY13</f>
        <v>0</v>
      </c>
      <c r="AI11" s="1">
        <f>Samleark!AZ13</f>
        <v>0</v>
      </c>
      <c r="AJ11" s="1">
        <f>Samleark!BA13</f>
        <v>0</v>
      </c>
      <c r="AK11" s="1">
        <f>Samleark!BB13</f>
        <v>0</v>
      </c>
      <c r="AL11" s="1">
        <f>Samleark!BC13</f>
        <v>0</v>
      </c>
    </row>
    <row r="12" spans="1:38" ht="35.4" customHeight="1" x14ac:dyDescent="0.2">
      <c r="A12" s="3" t="str">
        <f>Samleark!B14</f>
        <v xml:space="preserve">ENØK- Prosjekt fornybar energi Trones Sør </v>
      </c>
      <c r="B12" s="71">
        <f>Samleark!E14</f>
        <v>452450</v>
      </c>
      <c r="C12" s="71">
        <f>Samleark!F14</f>
        <v>303657.7181208054</v>
      </c>
      <c r="D12" s="71">
        <f>Samleark!Y14</f>
        <v>0</v>
      </c>
      <c r="E12" s="71">
        <f>Samleark!X14</f>
        <v>0</v>
      </c>
      <c r="F12" s="76">
        <f t="shared" si="0"/>
        <v>0</v>
      </c>
      <c r="G12" s="56" t="str">
        <f>Samleark!Z14</f>
        <v>For dette tiltaket er det snakk om konvertering av kWh fra fossilt/direkte elektrisk til bioenergi. Konverterte kWh og kronebesparelse knyttes til rør og ikke energisentral. Dette for å beholde sporbarhet tilbake til bygg og unngå dobbelføring av gevinst</v>
      </c>
      <c r="X12" s="1">
        <f>Samleark!AO14</f>
        <v>0</v>
      </c>
      <c r="Y12" s="1">
        <f>Samleark!AP14</f>
        <v>0</v>
      </c>
      <c r="Z12" s="1">
        <f>Samleark!AQ14</f>
        <v>0</v>
      </c>
      <c r="AA12" s="1">
        <f>Samleark!AR14</f>
        <v>0</v>
      </c>
      <c r="AB12" s="1">
        <f>Samleark!AS14</f>
        <v>0</v>
      </c>
      <c r="AC12" s="1">
        <f>Samleark!AT14</f>
        <v>0</v>
      </c>
      <c r="AD12" s="1">
        <f>Samleark!AU14</f>
        <v>0</v>
      </c>
      <c r="AE12" s="1">
        <f>Samleark!AV14</f>
        <v>0</v>
      </c>
      <c r="AF12" s="1">
        <f>Samleark!AW14</f>
        <v>0</v>
      </c>
      <c r="AG12" s="1">
        <f>Samleark!AX14</f>
        <v>0</v>
      </c>
      <c r="AH12" s="1">
        <f>Samleark!AY14</f>
        <v>0</v>
      </c>
      <c r="AI12" s="1">
        <f>Samleark!AZ14</f>
        <v>0</v>
      </c>
      <c r="AJ12" s="1">
        <f>Samleark!BA14</f>
        <v>0</v>
      </c>
      <c r="AK12" s="1">
        <f>Samleark!BB14</f>
        <v>0</v>
      </c>
      <c r="AL12" s="1">
        <f>Samleark!BC14</f>
        <v>0</v>
      </c>
    </row>
    <row r="13" spans="1:38" ht="34.799999999999997" customHeight="1" x14ac:dyDescent="0.2">
      <c r="A13" s="3" t="str">
        <f>Samleark!B15</f>
        <v xml:space="preserve">ENØK- Prosjekt fornybar energi Trones Nord </v>
      </c>
      <c r="B13" s="71">
        <f>Samleark!E15</f>
        <v>333210</v>
      </c>
      <c r="C13" s="71">
        <f>Samleark!F15</f>
        <v>223630.87248322146</v>
      </c>
      <c r="D13" s="71">
        <f>Samleark!Y15</f>
        <v>0</v>
      </c>
      <c r="E13" s="71">
        <f>Samleark!X15</f>
        <v>0</v>
      </c>
      <c r="F13" s="76">
        <f t="shared" si="0"/>
        <v>0</v>
      </c>
      <c r="G13" s="56" t="str">
        <f>Samleark!Z15</f>
        <v>For dette tiltaket er det snakk om konvertering av kWh fra fossilt/direkte elektrisk til bioenergi. Konverterte kWh og kronebesparelse knyttes til rør og ikke energisentral. Dette for å beholde sporbarhet tilbake til bygg og unngå dobbelføring av gevinst</v>
      </c>
      <c r="X13" s="1">
        <f>Samleark!AO15</f>
        <v>0</v>
      </c>
      <c r="Y13" s="1">
        <f>Samleark!AP15</f>
        <v>0</v>
      </c>
      <c r="Z13" s="1">
        <f>Samleark!AQ15</f>
        <v>0</v>
      </c>
      <c r="AA13" s="1">
        <f>Samleark!AR15</f>
        <v>0</v>
      </c>
      <c r="AB13" s="1">
        <f>Samleark!AS15</f>
        <v>0</v>
      </c>
      <c r="AC13" s="1">
        <f>Samleark!AT15</f>
        <v>0</v>
      </c>
      <c r="AD13" s="1">
        <f>Samleark!AU15</f>
        <v>0</v>
      </c>
      <c r="AE13" s="1">
        <f>Samleark!AV15</f>
        <v>0</v>
      </c>
      <c r="AF13" s="1">
        <f>Samleark!AW15</f>
        <v>0</v>
      </c>
      <c r="AG13" s="1">
        <f>Samleark!AX15</f>
        <v>0</v>
      </c>
      <c r="AH13" s="1">
        <f>Samleark!AY15</f>
        <v>0</v>
      </c>
      <c r="AI13" s="1">
        <f>Samleark!AZ15</f>
        <v>0</v>
      </c>
      <c r="AJ13" s="1">
        <f>Samleark!BA15</f>
        <v>0</v>
      </c>
      <c r="AK13" s="1">
        <f>Samleark!BB15</f>
        <v>0</v>
      </c>
      <c r="AL13" s="1">
        <f>Samleark!BC15</f>
        <v>0</v>
      </c>
    </row>
    <row r="14" spans="1:38" ht="34.799999999999997" customHeight="1" x14ac:dyDescent="0.2">
      <c r="A14" s="3" t="str">
        <f>Samleark!B16</f>
        <v xml:space="preserve">ENØK fornybar energi Iglemyr </v>
      </c>
      <c r="B14" s="71">
        <f>Samleark!E16</f>
        <v>280961</v>
      </c>
      <c r="C14" s="71">
        <f>Samleark!F16</f>
        <v>188564.42953020133</v>
      </c>
      <c r="D14" s="71">
        <f>Samleark!Y16</f>
        <v>0</v>
      </c>
      <c r="E14" s="71">
        <f>Samleark!X16</f>
        <v>0</v>
      </c>
      <c r="F14" s="76">
        <f t="shared" si="0"/>
        <v>0</v>
      </c>
      <c r="G14" s="56" t="str">
        <f>Samleark!Z16</f>
        <v>For dette tiltaket er det snakk om konvertering av kWh fra fossilt/direkte elektrisk til bioenergi. Konverterte kWh og kronebesparelse knyttes til rør og ikke energisentral. Dette for å beholde sporbarhet tilbake til bygg og unngå dobbelføring av gevinst</v>
      </c>
      <c r="X14" s="1">
        <f>Samleark!AO16</f>
        <v>0</v>
      </c>
      <c r="Y14" s="1">
        <f>Samleark!AP16</f>
        <v>0</v>
      </c>
      <c r="Z14" s="1">
        <f>Samleark!AQ16</f>
        <v>0</v>
      </c>
      <c r="AA14" s="1">
        <f>Samleark!AR16</f>
        <v>0</v>
      </c>
      <c r="AB14" s="1">
        <f>Samleark!AS16</f>
        <v>0</v>
      </c>
      <c r="AC14" s="1">
        <f>Samleark!AT16</f>
        <v>0</v>
      </c>
      <c r="AD14" s="1">
        <f>Samleark!AU16</f>
        <v>0</v>
      </c>
      <c r="AE14" s="1">
        <f>Samleark!AV16</f>
        <v>0</v>
      </c>
      <c r="AF14" s="1">
        <f>Samleark!AW16</f>
        <v>0</v>
      </c>
      <c r="AG14" s="1">
        <f>Samleark!AX16</f>
        <v>0</v>
      </c>
      <c r="AH14" s="1">
        <f>Samleark!AY16</f>
        <v>0</v>
      </c>
      <c r="AI14" s="1">
        <f>Samleark!AZ16</f>
        <v>0</v>
      </c>
      <c r="AJ14" s="1">
        <f>Samleark!BA16</f>
        <v>0</v>
      </c>
      <c r="AK14" s="1">
        <f>Samleark!BB16</f>
        <v>0</v>
      </c>
      <c r="AL14" s="1">
        <f>Samleark!BC16</f>
        <v>0</v>
      </c>
    </row>
    <row r="15" spans="1:38" ht="33" customHeight="1" thickBot="1" x14ac:dyDescent="0.25">
      <c r="A15" s="59" t="str">
        <f>Samleark!B17</f>
        <v xml:space="preserve">ENØK- Prosjekt fornybar energi Høle </v>
      </c>
      <c r="B15" s="72">
        <f>Samleark!E17</f>
        <v>268250</v>
      </c>
      <c r="C15" s="72">
        <f>Samleark!F17</f>
        <v>180033.55704697987</v>
      </c>
      <c r="D15" s="72">
        <f>Samleark!Y17</f>
        <v>0</v>
      </c>
      <c r="E15" s="72">
        <f>Samleark!X17</f>
        <v>0</v>
      </c>
      <c r="F15" s="76">
        <f t="shared" si="0"/>
        <v>0</v>
      </c>
      <c r="G15" s="60" t="str">
        <f>Samleark!Z17</f>
        <v>For dette tiltaket er det snakk om konvertering av kWh fra fossilt/direkte elektrisk til bioenergi. Konverterte kWh og kronebesparelse knyttes til rør og ikke energisentral. Dette for å beholde sporbarhet tilbake til bygg og unngå dobbelføring av gevinst</v>
      </c>
      <c r="X15" s="1">
        <f>Samleark!AO17</f>
        <v>0</v>
      </c>
      <c r="Y15" s="1">
        <f>Samleark!AP17</f>
        <v>0</v>
      </c>
      <c r="Z15" s="1">
        <f>Samleark!AQ17</f>
        <v>0</v>
      </c>
      <c r="AA15" s="1">
        <f>Samleark!AR17</f>
        <v>0</v>
      </c>
      <c r="AB15" s="1">
        <f>Samleark!AS17</f>
        <v>0</v>
      </c>
      <c r="AC15" s="1">
        <f>Samleark!AT17</f>
        <v>0</v>
      </c>
      <c r="AD15" s="1">
        <f>Samleark!AU17</f>
        <v>0</v>
      </c>
      <c r="AE15" s="1">
        <f>Samleark!AV17</f>
        <v>0</v>
      </c>
      <c r="AF15" s="1">
        <f>Samleark!AW17</f>
        <v>0</v>
      </c>
      <c r="AG15" s="1">
        <f>Samleark!AX17</f>
        <v>0</v>
      </c>
      <c r="AH15" s="1">
        <f>Samleark!AY17</f>
        <v>0</v>
      </c>
      <c r="AI15" s="1">
        <f>Samleark!AZ17</f>
        <v>0</v>
      </c>
      <c r="AJ15" s="1">
        <f>Samleark!BA17</f>
        <v>0</v>
      </c>
      <c r="AK15" s="1">
        <f>Samleark!BB17</f>
        <v>0</v>
      </c>
      <c r="AL15" s="1">
        <f>Samleark!BC17</f>
        <v>0</v>
      </c>
    </row>
    <row r="16" spans="1:38" ht="12.75" customHeight="1" thickBot="1" x14ac:dyDescent="0.25">
      <c r="A16" s="66" t="s">
        <v>92</v>
      </c>
      <c r="B16" s="63">
        <f>SUM(B5:B15)</f>
        <v>4447170</v>
      </c>
      <c r="C16" s="63">
        <f t="shared" ref="C16:F16" si="1">SUM(C5:C15)</f>
        <v>2984677.8523489931</v>
      </c>
      <c r="D16" s="63">
        <f>SUM(D5:D15)</f>
        <v>403239.5101858573</v>
      </c>
      <c r="E16" s="63">
        <f t="shared" si="1"/>
        <v>1008098.7754646431</v>
      </c>
      <c r="F16" s="63">
        <f t="shared" si="1"/>
        <v>1008098.7754646431</v>
      </c>
      <c r="G16" s="67"/>
    </row>
    <row r="17" spans="1:38" ht="21.6" customHeight="1" x14ac:dyDescent="0.2">
      <c r="A17" s="61" t="str">
        <f>Samleark!B18</f>
        <v xml:space="preserve">ENØK- Prosjekt solvarme energi Lunde- Sørbø </v>
      </c>
      <c r="B17" s="73">
        <f>Samleark!E18</f>
        <v>1268817</v>
      </c>
      <c r="C17" s="73">
        <f>Samleark!F18</f>
        <v>851555.03355704702</v>
      </c>
      <c r="D17" s="73">
        <f>Samleark!Y18</f>
        <v>0</v>
      </c>
      <c r="E17" s="73">
        <f>Samleark!X18</f>
        <v>0</v>
      </c>
      <c r="F17" s="77">
        <f>E17</f>
        <v>0</v>
      </c>
      <c r="G17" s="62" t="str">
        <f>Samleark!Z18</f>
        <v>Prosjekt ikke gjennomført. Beregning i 2010 tok utgangspunkt i et urealistisk stort sollfangerareal.</v>
      </c>
      <c r="X17" s="1">
        <f>Samleark!AO18</f>
        <v>0</v>
      </c>
      <c r="Y17" s="1">
        <f>Samleark!AP18</f>
        <v>0</v>
      </c>
      <c r="Z17" s="1">
        <f>Samleark!AQ18</f>
        <v>0</v>
      </c>
      <c r="AA17" s="1">
        <f>Samleark!AR18</f>
        <v>0</v>
      </c>
      <c r="AB17" s="1">
        <f>Samleark!AS18</f>
        <v>0</v>
      </c>
      <c r="AC17" s="1">
        <f>Samleark!AT18</f>
        <v>0</v>
      </c>
      <c r="AD17" s="1">
        <f>Samleark!AU18</f>
        <v>0</v>
      </c>
      <c r="AE17" s="1">
        <f>Samleark!AV18</f>
        <v>0</v>
      </c>
      <c r="AF17" s="1">
        <f>Samleark!AW18</f>
        <v>0</v>
      </c>
      <c r="AG17" s="1">
        <f>Samleark!AX18</f>
        <v>0</v>
      </c>
      <c r="AH17" s="1">
        <f>Samleark!AY18</f>
        <v>0</v>
      </c>
      <c r="AI17" s="1">
        <f>Samleark!AZ18</f>
        <v>0</v>
      </c>
      <c r="AJ17" s="1">
        <f>Samleark!BA18</f>
        <v>0</v>
      </c>
      <c r="AK17" s="1">
        <f>Samleark!BB18</f>
        <v>0</v>
      </c>
      <c r="AL17" s="1">
        <f>Samleark!BC18</f>
        <v>0</v>
      </c>
    </row>
    <row r="18" spans="1:38" ht="18.600000000000001" customHeight="1" thickBot="1" x14ac:dyDescent="0.25">
      <c r="A18" s="59" t="str">
        <f>Samleark!B19</f>
        <v xml:space="preserve"> ENØK solvarme energi Austrått boas </v>
      </c>
      <c r="B18" s="72">
        <f>Samleark!E19</f>
        <v>310392</v>
      </c>
      <c r="C18" s="72">
        <f>Samleark!F19</f>
        <v>208316.77852348992</v>
      </c>
      <c r="D18" s="72">
        <f>Samleark!Y19</f>
        <v>128000</v>
      </c>
      <c r="E18" s="72">
        <f>Samleark!X19</f>
        <v>160000</v>
      </c>
      <c r="F18" s="78">
        <f>E18</f>
        <v>160000</v>
      </c>
      <c r="G18" s="60" t="str">
        <f>Samleark!Z19</f>
        <v>Prosjektet er ikke fullt utbygd før i 2018/2019</v>
      </c>
      <c r="X18" s="1">
        <f>Samleark!AO19</f>
        <v>0</v>
      </c>
      <c r="Y18" s="1">
        <f>Samleark!AP19</f>
        <v>0</v>
      </c>
      <c r="Z18" s="1">
        <f>Samleark!AQ19</f>
        <v>0</v>
      </c>
      <c r="AA18" s="1">
        <f>Samleark!AR19</f>
        <v>0</v>
      </c>
      <c r="AB18" s="1">
        <f>Samleark!AS19</f>
        <v>0</v>
      </c>
      <c r="AC18" s="1">
        <f>Samleark!AT19</f>
        <v>0</v>
      </c>
      <c r="AD18" s="1">
        <f>Samleark!AU19</f>
        <v>0</v>
      </c>
      <c r="AE18" s="1">
        <f>Samleark!AV19</f>
        <v>0</v>
      </c>
      <c r="AF18" s="1">
        <f>Samleark!AW19</f>
        <v>0</v>
      </c>
      <c r="AG18" s="1">
        <f>Samleark!AX19</f>
        <v>0</v>
      </c>
      <c r="AH18" s="1">
        <f>Samleark!AY19</f>
        <v>0</v>
      </c>
      <c r="AI18" s="1">
        <f>Samleark!AZ19</f>
        <v>0</v>
      </c>
      <c r="AJ18" s="1">
        <f>Samleark!BA19</f>
        <v>0</v>
      </c>
      <c r="AK18" s="1">
        <f>Samleark!BB19</f>
        <v>0</v>
      </c>
      <c r="AL18" s="1">
        <f>Samleark!BC19</f>
        <v>0</v>
      </c>
    </row>
    <row r="19" spans="1:38" ht="12.75" customHeight="1" thickBot="1" x14ac:dyDescent="0.25">
      <c r="A19" s="66" t="s">
        <v>93</v>
      </c>
      <c r="B19" s="63">
        <f>SUM(B17:B18)</f>
        <v>1579209</v>
      </c>
      <c r="C19" s="63">
        <f t="shared" ref="C19:F19" si="2">SUM(C17:C18)</f>
        <v>1059871.812080537</v>
      </c>
      <c r="D19" s="63">
        <f t="shared" si="2"/>
        <v>128000</v>
      </c>
      <c r="E19" s="63">
        <f t="shared" si="2"/>
        <v>160000</v>
      </c>
      <c r="F19" s="63">
        <f t="shared" si="2"/>
        <v>160000</v>
      </c>
      <c r="G19" s="68"/>
    </row>
    <row r="20" spans="1:38" ht="82.8" customHeight="1" x14ac:dyDescent="0.2">
      <c r="A20" s="61" t="str">
        <f>Samleark!B20</f>
        <v xml:space="preserve">ENØK- VAV sonestyring ventilasjon Buggeland skole </v>
      </c>
      <c r="B20" s="73">
        <f>Samleark!E20</f>
        <v>397889</v>
      </c>
      <c r="C20" s="73">
        <f>Samleark!F20</f>
        <v>267039.59731543623</v>
      </c>
      <c r="D20" s="73">
        <f>Samleark!Y20</f>
        <v>128661.6</v>
      </c>
      <c r="E20" s="73">
        <f>Samleark!X20</f>
        <v>160827</v>
      </c>
      <c r="F20" s="77">
        <f>E20</f>
        <v>160827</v>
      </c>
      <c r="G20" s="62" t="str">
        <f>Samleark!Z20</f>
        <v>Det kan fvære riktig med besparelse på mellom 20 og 40% på de ventilasjonsanleggene som er omfattet, selv med forventet tiltak. Men det blir feil å legge denne høye prosenten på hele skolens energiforbruk. Tiltaket som er utført er et forenklet VAV-tiltak. Typisk har disse tiltakene 80% av effekten til 20% av prisen.  Faktisk besparelse på Buggeland i perioden er på ca 20%. En god del av denne besparelsen kan nok knyttes til tiltaket. Noe av besparelsen kan sannsynligvis knyttes til SD-anlegg og EOS</v>
      </c>
      <c r="X20" s="1">
        <f>Samleark!AO20</f>
        <v>0</v>
      </c>
      <c r="Y20" s="1">
        <f>Samleark!AP20</f>
        <v>0</v>
      </c>
      <c r="Z20" s="1">
        <f>Samleark!AQ20</f>
        <v>0</v>
      </c>
      <c r="AA20" s="1">
        <f>Samleark!AR20</f>
        <v>0</v>
      </c>
      <c r="AB20" s="1">
        <f>Samleark!AS20</f>
        <v>0</v>
      </c>
      <c r="AC20" s="1">
        <f>Samleark!AT20</f>
        <v>0</v>
      </c>
      <c r="AD20" s="1">
        <f>Samleark!AU20</f>
        <v>0</v>
      </c>
      <c r="AE20" s="1">
        <f>Samleark!AV20</f>
        <v>0</v>
      </c>
      <c r="AF20" s="1">
        <f>Samleark!AW20</f>
        <v>0</v>
      </c>
      <c r="AG20" s="1">
        <f>Samleark!AX20</f>
        <v>0</v>
      </c>
      <c r="AH20" s="1">
        <f>Samleark!AY20</f>
        <v>0</v>
      </c>
      <c r="AI20" s="1">
        <f>Samleark!AZ20</f>
        <v>0</v>
      </c>
      <c r="AJ20" s="1">
        <f>Samleark!BA20</f>
        <v>0</v>
      </c>
      <c r="AK20" s="1">
        <f>Samleark!BB20</f>
        <v>0</v>
      </c>
      <c r="AL20" s="1">
        <f>Samleark!BC20</f>
        <v>0</v>
      </c>
    </row>
    <row r="21" spans="1:38" ht="64.2" customHeight="1" thickBot="1" x14ac:dyDescent="0.25">
      <c r="A21" s="57" t="str">
        <f>Samleark!B21</f>
        <v xml:space="preserve">ENØK- VAV sonestyring ventilasjon Porsholen skole </v>
      </c>
      <c r="B21" s="74">
        <f>Samleark!E21</f>
        <v>117510</v>
      </c>
      <c r="C21" s="74">
        <f>Samleark!F21</f>
        <v>78865.771812080537</v>
      </c>
      <c r="D21" s="74">
        <f>Samleark!Y21</f>
        <v>0</v>
      </c>
      <c r="E21" s="74">
        <f>Samleark!X21</f>
        <v>0</v>
      </c>
      <c r="F21" s="77">
        <v>100000</v>
      </c>
      <c r="G21" s="58" t="str">
        <f>Samleark!Z21</f>
        <v>Det kan være riktig med besparelse på mellom 20 og 40% på de ventilasjonsanleggene som er omfattet, selv med forventet tiltak. Men det blir feil å legge denne høye prosenten på hele skolens energiforbruk. Det er ikke gjort oppdatert beregning på VAV-tiltaket i 2016, men energiforbruket på Porsholen i 2017 vil kunne si noe om oppnådd besparelse.</v>
      </c>
      <c r="X21" s="1">
        <f>Samleark!AO21</f>
        <v>0</v>
      </c>
      <c r="Y21" s="1">
        <f>Samleark!AP21</f>
        <v>0</v>
      </c>
      <c r="Z21" s="1">
        <f>Samleark!AQ21</f>
        <v>0</v>
      </c>
      <c r="AA21" s="1">
        <f>Samleark!AR21</f>
        <v>0</v>
      </c>
      <c r="AB21" s="1">
        <f>Samleark!AS21</f>
        <v>0</v>
      </c>
      <c r="AC21" s="1">
        <f>Samleark!AT21</f>
        <v>0</v>
      </c>
      <c r="AD21" s="1">
        <f>Samleark!AU21</f>
        <v>0</v>
      </c>
      <c r="AE21" s="1">
        <f>Samleark!AV21</f>
        <v>0</v>
      </c>
      <c r="AF21" s="1">
        <f>Samleark!AW21</f>
        <v>0</v>
      </c>
      <c r="AG21" s="1">
        <f>Samleark!AX21</f>
        <v>0</v>
      </c>
      <c r="AH21" s="1">
        <f>Samleark!AY21</f>
        <v>0</v>
      </c>
      <c r="AI21" s="1">
        <f>Samleark!AZ21</f>
        <v>0</v>
      </c>
      <c r="AJ21" s="1">
        <f>Samleark!BA21</f>
        <v>0</v>
      </c>
      <c r="AK21" s="1">
        <f>Samleark!BB21</f>
        <v>0</v>
      </c>
      <c r="AL21" s="1">
        <f>Samleark!BC21</f>
        <v>0</v>
      </c>
    </row>
    <row r="22" spans="1:38" ht="12.75" customHeight="1" thickBot="1" x14ac:dyDescent="0.25">
      <c r="A22" s="66" t="s">
        <v>94</v>
      </c>
      <c r="B22" s="63">
        <f>SUM(B20:B21)</f>
        <v>515399</v>
      </c>
      <c r="C22" s="63">
        <f t="shared" ref="C22:F22" si="3">SUM(C20:C21)</f>
        <v>345905.36912751675</v>
      </c>
      <c r="D22" s="63">
        <f t="shared" si="3"/>
        <v>128661.6</v>
      </c>
      <c r="E22" s="63">
        <f t="shared" si="3"/>
        <v>160827</v>
      </c>
      <c r="F22" s="63">
        <f t="shared" si="3"/>
        <v>260827</v>
      </c>
      <c r="G22" s="68"/>
    </row>
    <row r="23" spans="1:38" ht="18" customHeight="1" x14ac:dyDescent="0.2">
      <c r="A23" s="61" t="str">
        <f>Samleark!B22</f>
        <v xml:space="preserve">ENØK- Varatun helse basseng </v>
      </c>
      <c r="B23" s="73">
        <f>Samleark!E22</f>
        <v>61486</v>
      </c>
      <c r="C23" s="73">
        <f>Samleark!F22</f>
        <v>41265.771812080537</v>
      </c>
      <c r="D23" s="73">
        <f>Samleark!Y22</f>
        <v>33012.617449664431</v>
      </c>
      <c r="E23" s="73">
        <f>Samleark!X22</f>
        <v>41265.771812080537</v>
      </c>
      <c r="F23" s="77">
        <f>E23</f>
        <v>41265.771812080537</v>
      </c>
      <c r="G23" s="62" t="str">
        <f>Samleark!Z22</f>
        <v>mangler regnskapstall 2010</v>
      </c>
      <c r="X23" s="1">
        <f>Samleark!AO22</f>
        <v>0</v>
      </c>
      <c r="Y23" s="1">
        <f>Samleark!AP22</f>
        <v>0</v>
      </c>
      <c r="Z23" s="1">
        <f>Samleark!AQ22</f>
        <v>0</v>
      </c>
      <c r="AA23" s="1">
        <f>Samleark!AR22</f>
        <v>0</v>
      </c>
      <c r="AB23" s="1">
        <f>Samleark!AS22</f>
        <v>0</v>
      </c>
      <c r="AC23" s="1">
        <f>Samleark!AT22</f>
        <v>0</v>
      </c>
      <c r="AD23" s="1">
        <f>Samleark!AU22</f>
        <v>0</v>
      </c>
      <c r="AE23" s="1">
        <f>Samleark!AV22</f>
        <v>0</v>
      </c>
      <c r="AF23" s="1">
        <f>Samleark!AW22</f>
        <v>0</v>
      </c>
      <c r="AG23" s="1">
        <f>Samleark!AX22</f>
        <v>0</v>
      </c>
      <c r="AH23" s="1">
        <f>Samleark!AY22</f>
        <v>0</v>
      </c>
      <c r="AI23" s="1">
        <f>Samleark!AZ22</f>
        <v>0</v>
      </c>
      <c r="AJ23" s="1">
        <f>Samleark!BA22</f>
        <v>0</v>
      </c>
      <c r="AK23" s="1">
        <f>Samleark!BB22</f>
        <v>0</v>
      </c>
      <c r="AL23" s="1">
        <f>Samleark!BC22</f>
        <v>0</v>
      </c>
    </row>
    <row r="24" spans="1:38" ht="252" customHeight="1" x14ac:dyDescent="0.2">
      <c r="A24" s="3" t="str">
        <f>Samleark!B23</f>
        <v>ENØK- Sentral drift overvåkning- sd- anlegg barnebygg</v>
      </c>
      <c r="B24" s="71">
        <f>Samleark!E23</f>
        <v>1123750</v>
      </c>
      <c r="C24" s="71">
        <f>Samleark!F23</f>
        <v>754194.63087248325</v>
      </c>
      <c r="D24" s="71">
        <f>Samleark!Y23</f>
        <v>375964.60000000003</v>
      </c>
      <c r="E24" s="71">
        <f>Samleark!X23</f>
        <v>469955.75</v>
      </c>
      <c r="F24" s="76">
        <f>E24+38000</f>
        <v>507955.75</v>
      </c>
      <c r="G24" s="56" t="str">
        <f>Samleark!Z23</f>
        <v>Det lå et altfor høyt tall til grunn for energiforbruk i barnehager (kr og kWh) ved beregning av sparepotensial. Energikostnad ble korrigert  i tilsvar 2011, tilsynelatende uten at det ble gjort noen rekalkulering av sparepotensial. Og man regnet både i 2010 og 2011 en besparelse i ALLE barnehagebygg, selv om kkun utvalgte bygg fikk SD-anlegg. Avvik estimat energiforbruk  og regnskapsført energiforbruk var på hele 44%(kr). I beste fall kunne man da forvente at energibesparelsen ved tiltaket ble redusert med 400.000 kr /år.  Det  er gjennomført få rehabiliterings- og enøktiltak i barnehager, noe som burde tilsi høyt potensial for besparelse. 0% besparelse er likevel relativt høyt, da barnehager har kort driftstid, og mange bygg har kun et driftsmodus på ventilasjonsanlegg og manuelle systemer for lys- og temperaturstyring. SD-anlegg alene er ikke nok. men mer av potensialet kan tas ut med å benytte ET-kurver, koble termostater til SD-anlegg etc Flere barnehager i Sandnes har radonproblematikk, som gjør at man i perioden har økt driftstid på ventilasjon betraktelig.. Korrigert for økt areal, har barnehagene  redusert energiforbruk (kWh) med 7% per m2. En reduksjon på 15% fra faktisk energiforbruk 2010 burde kunne være realistisk . Dette kan følges opp på EOS-nivå på enkeltbygg for å se hvor det faktisk har vært besparelser. Korrigert besparelse er reduksjon i energiforbruk i de byggene som faktisk har fått SD-anlegg. Da er noen av byggene med SD-anlegg likevel utelatt pga spesielle forhold ved disse. Dette gjelder: Figgjo bhg (utvidet+fått varmepumpe), Jønningheia bhg (gjenreising etter brann), Høle, Riska, Sørbø (nye etter 2010), Rissebærstraen og Stangelandsforen (har fått nye ventilasjonsanlegg) Smeaheia (mangler energiforbrukstall) Energiforbruket på disse barnehagene 2016 var 771297 kWh,. 5% av dette er 38564 kWh</v>
      </c>
      <c r="X24" s="1">
        <f>Samleark!AO23</f>
        <v>0</v>
      </c>
      <c r="Y24" s="1">
        <f>Samleark!AP23</f>
        <v>0</v>
      </c>
      <c r="Z24" s="1">
        <f>Samleark!AQ23</f>
        <v>0</v>
      </c>
      <c r="AA24" s="1">
        <f>Samleark!AR23</f>
        <v>0</v>
      </c>
      <c r="AB24" s="1">
        <f>Samleark!AS23</f>
        <v>0</v>
      </c>
      <c r="AC24" s="1">
        <f>Samleark!AT23</f>
        <v>0</v>
      </c>
      <c r="AD24" s="1">
        <f>Samleark!AU23</f>
        <v>0</v>
      </c>
      <c r="AE24" s="1">
        <f>Samleark!AV23</f>
        <v>0</v>
      </c>
      <c r="AF24" s="1">
        <f>Samleark!AW23</f>
        <v>0</v>
      </c>
      <c r="AG24" s="1">
        <f>Samleark!AX23</f>
        <v>0</v>
      </c>
      <c r="AH24" s="1">
        <f>Samleark!AY23</f>
        <v>0</v>
      </c>
      <c r="AI24" s="1">
        <f>Samleark!AZ23</f>
        <v>0</v>
      </c>
      <c r="AJ24" s="1">
        <f>Samleark!BA23</f>
        <v>0</v>
      </c>
      <c r="AK24" s="1">
        <f>Samleark!BB23</f>
        <v>0</v>
      </c>
      <c r="AL24" s="1">
        <f>Samleark!BC23</f>
        <v>0</v>
      </c>
    </row>
    <row r="25" spans="1:38" ht="159.6" customHeight="1" x14ac:dyDescent="0.2">
      <c r="A25" s="3" t="str">
        <f>Samleark!B24</f>
        <v xml:space="preserve">ENØK- Sentral drift overvåkning- sd- anlegg skolebygg </v>
      </c>
      <c r="B25" s="71">
        <f>Samleark!E24</f>
        <v>7496869</v>
      </c>
      <c r="C25" s="71">
        <f>Samleark!F24</f>
        <v>5031455.7046979871</v>
      </c>
      <c r="D25" s="71">
        <f>Samleark!Y24</f>
        <v>1555844</v>
      </c>
      <c r="E25" s="71">
        <f>Samleark!X24</f>
        <v>1944805</v>
      </c>
      <c r="F25" s="76">
        <f>E25+301000</f>
        <v>2245805</v>
      </c>
      <c r="G25" s="56" t="str">
        <f>Samleark!Z24</f>
        <v>Det lå et altfor høyt tall til grunn for energiforbruk i skoler (kr og kWh) ved beregning av sparepotensial. Forbrukstallet ble korrigert  i tilsvar 2011, tilsynelatende uten at det ble gjort noen rekalkulering av sparepotensial. Avvik estimat energiforbruk  og regnskapsført energiforbruk var på hele 80%(kr) . Potensiell besparelse er dessuten i 2010 basert på reduksjon på ALLE skolebygg, selv om bare utvalgte bygg skulle få SD-anlegg. I økonomiplan er det spesifisert at tiltaket kun omfatter Høyland u.skole, Stangeland skole, Iglemyr skole, Smeaheia skole og Riska Boas. I alt 22 skoler har fått SD-anlegg. En del av disse holdes likevel utenfor korrigert besparelse på grunn av spesiell forhold ved skolene. Dette gjelder  Ganddal skole (rehabilitert), Høyland skole (gjenvinnere og varmepumpe), Iglemyr (omlagt til fornybar, radon), Kyrkjevollen (radon), Lundehaugen (rehabilitering), Porsholen skole (feil energidata), Sviland (byttet gjenvinnere), Sørbø skole (utvidet?) Trones Nord (rehabilitering), Øygard (rehabilitering) Energiforbruket på disse byggene er på totalt 6025375 kWh i 2016. 5% av dette er 301268 kWh</v>
      </c>
      <c r="X25" s="1">
        <f>Samleark!AO24</f>
        <v>0</v>
      </c>
      <c r="Y25" s="1">
        <f>Samleark!AP24</f>
        <v>0</v>
      </c>
      <c r="Z25" s="1">
        <f>Samleark!AQ24</f>
        <v>0</v>
      </c>
      <c r="AA25" s="1">
        <f>Samleark!AR24</f>
        <v>0</v>
      </c>
      <c r="AB25" s="1">
        <f>Samleark!AS24</f>
        <v>0</v>
      </c>
      <c r="AC25" s="1">
        <f>Samleark!AT24</f>
        <v>0</v>
      </c>
      <c r="AD25" s="1">
        <f>Samleark!AU24</f>
        <v>0</v>
      </c>
      <c r="AE25" s="1">
        <f>Samleark!AV24</f>
        <v>0</v>
      </c>
      <c r="AF25" s="1">
        <f>Samleark!AW24</f>
        <v>0</v>
      </c>
      <c r="AG25" s="1">
        <f>Samleark!AX24</f>
        <v>0</v>
      </c>
      <c r="AH25" s="1">
        <f>Samleark!AY24</f>
        <v>0</v>
      </c>
      <c r="AI25" s="1">
        <f>Samleark!AZ24</f>
        <v>0</v>
      </c>
      <c r="AJ25" s="1">
        <f>Samleark!BA24</f>
        <v>0</v>
      </c>
      <c r="AK25" s="1">
        <f>Samleark!BB24</f>
        <v>0</v>
      </c>
      <c r="AL25" s="1">
        <f>Samleark!BC24</f>
        <v>0</v>
      </c>
    </row>
    <row r="26" spans="1:38" ht="93.6" customHeight="1" thickBot="1" x14ac:dyDescent="0.25">
      <c r="A26" s="57" t="str">
        <f>Samleark!B25</f>
        <v xml:space="preserve">ENØK- EOS system / rapportverktøy (Verktøy for overvåkning </v>
      </c>
      <c r="B26" s="74">
        <f>Samleark!E25</f>
        <v>5800000</v>
      </c>
      <c r="C26" s="74">
        <f>Samleark!F25</f>
        <v>3892617.4496644298</v>
      </c>
      <c r="D26" s="74">
        <f>Samleark!Y25</f>
        <v>0</v>
      </c>
      <c r="E26" s="74">
        <f>Samleark!X25</f>
        <v>0</v>
      </c>
      <c r="F26" s="57"/>
      <c r="G26" s="58" t="str">
        <f>Samleark!Z25</f>
        <v>Det lå et altfor høyt tall til grunn for energikostnad ved beregning av sparepotensial. Energikostnad ble korrigert  i tilsvar 2011, tilsynelatende uten at det ble gjort noen rekalkulering av sparepotensial. 10% besparelse for EOS er ikke urimelig. Men dette kan kanskje ikke plusses direkte på tallene for SD-anlegg og andre tiltak. EOS-system er heller et godt verktøy for å sørge for oppfølging av at andre tiltak gir den besparelsen som var tiltenkt, og at potensialet i SD-anlegg utnyttes.EOS-system er ikke endelig på plass, da det jobbes med rutiner og systematikk. Da SEKF jobber med kontrekt energieffektivisering i bygningsmassen, blir det svært vanskelig å si hvilken besparelse EOS-system faktisk gir.</v>
      </c>
      <c r="X26" s="1">
        <f>Samleark!AO25</f>
        <v>0</v>
      </c>
      <c r="Y26" s="1">
        <f>Samleark!AP25</f>
        <v>0</v>
      </c>
      <c r="Z26" s="1">
        <f>Samleark!AQ25</f>
        <v>0</v>
      </c>
      <c r="AA26" s="1">
        <f>Samleark!AR25</f>
        <v>0</v>
      </c>
      <c r="AB26" s="1">
        <f>Samleark!AS25</f>
        <v>0</v>
      </c>
      <c r="AC26" s="1">
        <f>Samleark!AT25</f>
        <v>0</v>
      </c>
      <c r="AD26" s="1">
        <f>Samleark!AU25</f>
        <v>0</v>
      </c>
      <c r="AE26" s="1">
        <f>Samleark!AV25</f>
        <v>0</v>
      </c>
      <c r="AF26" s="1">
        <f>Samleark!AW25</f>
        <v>0</v>
      </c>
      <c r="AG26" s="1">
        <f>Samleark!AX25</f>
        <v>0</v>
      </c>
      <c r="AH26" s="1">
        <f>Samleark!AY25</f>
        <v>0</v>
      </c>
      <c r="AI26" s="1">
        <f>Samleark!AZ25</f>
        <v>0</v>
      </c>
      <c r="AJ26" s="1">
        <f>Samleark!BA25</f>
        <v>0</v>
      </c>
      <c r="AK26" s="1">
        <f>Samleark!BB25</f>
        <v>0</v>
      </c>
      <c r="AL26" s="1">
        <f>Samleark!BC25</f>
        <v>0</v>
      </c>
    </row>
    <row r="27" spans="1:38" ht="12.75" customHeight="1" thickBot="1" x14ac:dyDescent="0.25">
      <c r="A27" s="64" t="str">
        <f>Samleark!B26</f>
        <v>Sum</v>
      </c>
      <c r="B27" s="75">
        <f>Samleark!E26</f>
        <v>21023883</v>
      </c>
      <c r="C27" s="75">
        <f>Samleark!F26</f>
        <v>14109988.590604026</v>
      </c>
      <c r="D27" s="75">
        <f>Samleark!Y26</f>
        <v>2624722.327635522</v>
      </c>
      <c r="E27" s="75">
        <f>Samleark!X26</f>
        <v>3784952.2972767241</v>
      </c>
      <c r="F27" s="75">
        <f>F16+F19+F22+F23+F24+F25+F26</f>
        <v>4223952.2972767241</v>
      </c>
      <c r="G27" s="65"/>
      <c r="X27" s="1">
        <f>Samleark!AO26</f>
        <v>0</v>
      </c>
      <c r="Y27" s="1">
        <f>Samleark!AP26</f>
        <v>0</v>
      </c>
      <c r="Z27" s="1">
        <f>Samleark!AQ26</f>
        <v>0</v>
      </c>
      <c r="AA27" s="1">
        <f>Samleark!AR26</f>
        <v>0</v>
      </c>
      <c r="AB27" s="1">
        <f>Samleark!AS26</f>
        <v>0</v>
      </c>
      <c r="AC27" s="1">
        <f>Samleark!AT26</f>
        <v>0</v>
      </c>
      <c r="AD27" s="1">
        <f>Samleark!AU26</f>
        <v>0</v>
      </c>
      <c r="AE27" s="1">
        <f>Samleark!AV26</f>
        <v>0</v>
      </c>
      <c r="AF27" s="1">
        <f>Samleark!AW26</f>
        <v>0</v>
      </c>
      <c r="AG27" s="1">
        <f>Samleark!AX26</f>
        <v>0</v>
      </c>
      <c r="AH27" s="1">
        <f>Samleark!AY26</f>
        <v>0</v>
      </c>
      <c r="AI27" s="1">
        <f>Samleark!AZ26</f>
        <v>0</v>
      </c>
      <c r="AJ27" s="1">
        <f>Samleark!BA26</f>
        <v>0</v>
      </c>
      <c r="AK27" s="1">
        <f>Samleark!BB26</f>
        <v>0</v>
      </c>
      <c r="AL27" s="1">
        <f>Samleark!BC26</f>
        <v>0</v>
      </c>
    </row>
    <row r="28" spans="1:38" ht="12.75" customHeight="1" x14ac:dyDescent="0.2">
      <c r="A28" s="1">
        <f>Samleark!B27</f>
        <v>0</v>
      </c>
      <c r="B28" s="1">
        <f>Samleark!E27</f>
        <v>0</v>
      </c>
      <c r="C28" s="1">
        <f>Samleark!F27</f>
        <v>0</v>
      </c>
      <c r="D28" s="1">
        <f>Samleark!Y27</f>
        <v>0</v>
      </c>
      <c r="E28" s="1">
        <f>Samleark!X27</f>
        <v>0</v>
      </c>
      <c r="G28" s="2">
        <f>Samleark!Z27</f>
        <v>0</v>
      </c>
      <c r="X28" s="1">
        <f>Samleark!AO27</f>
        <v>0</v>
      </c>
      <c r="Y28" s="1">
        <f>Samleark!AP27</f>
        <v>0</v>
      </c>
      <c r="Z28" s="1">
        <f>Samleark!AQ27</f>
        <v>0</v>
      </c>
      <c r="AA28" s="1">
        <f>Samleark!AR27</f>
        <v>0</v>
      </c>
      <c r="AB28" s="1">
        <f>Samleark!AS27</f>
        <v>0</v>
      </c>
      <c r="AC28" s="1">
        <f>Samleark!AT27</f>
        <v>0</v>
      </c>
      <c r="AD28" s="1">
        <f>Samleark!AU27</f>
        <v>0</v>
      </c>
      <c r="AE28" s="1">
        <f>Samleark!AV27</f>
        <v>0</v>
      </c>
      <c r="AF28" s="1">
        <f>Samleark!AW27</f>
        <v>0</v>
      </c>
      <c r="AG28" s="1">
        <f>Samleark!AX27</f>
        <v>0</v>
      </c>
      <c r="AH28" s="1">
        <f>Samleark!AY27</f>
        <v>0</v>
      </c>
      <c r="AI28" s="1">
        <f>Samleark!AZ27</f>
        <v>0</v>
      </c>
      <c r="AJ28" s="1">
        <f>Samleark!BA27</f>
        <v>0</v>
      </c>
      <c r="AK28" s="1">
        <f>Samleark!BB27</f>
        <v>0</v>
      </c>
      <c r="AL28" s="1">
        <f>Samleark!BC27</f>
        <v>0</v>
      </c>
    </row>
  </sheetData>
  <sheetProtection algorithmName="SHA-512" hashValue="7gpvOVxleNK4zG4hvqbD+ERoTFsF9Vwl8XZDhnZ+L8YrLJJoGUEGlyDBRGRKcpBWQ2Ug/n9F9x3snmOeVFzpvg==" saltValue="ruArNPjSPv5wiqUnlrDJUw==" spinCount="100000" sheet="1" objects="1" scenarios="1"/>
  <pageMargins left="0.23622047244094491" right="0.23622047244094491" top="0.74803149606299213" bottom="0.74803149606299213" header="0.31496062992125984" footer="0.31496062992125984"/>
  <pageSetup paperSize="8" scale="29" orientation="portrait" r:id="rId1"/>
  <headerFooter>
    <oddHeader xml:space="preserve">&amp;L&amp;G&amp;R&amp;18 </oddHeader>
    <oddFooter>&amp;C&amp;"Verdana,Regular"&amp;8&amp;P / &amp;K000000&amp;N</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1"/>
  <sheetViews>
    <sheetView tabSelected="1" showRuler="0" zoomScaleNormal="100" zoomScaleSheetLayoutView="400" zoomScalePageLayoutView="55" workbookViewId="0">
      <selection sqref="A1:XFD1048576"/>
    </sheetView>
  </sheetViews>
  <sheetFormatPr baseColWidth="10" defaultColWidth="9.09765625" defaultRowHeight="12.75" customHeight="1" x14ac:dyDescent="0.2"/>
  <cols>
    <col min="1" max="1" width="9.09765625" style="1"/>
    <col min="2" max="2" width="11.796875" style="1" customWidth="1"/>
    <col min="3" max="16384" width="9.09765625" style="1"/>
  </cols>
  <sheetData>
    <row r="2" spans="2:6" ht="12.75" customHeight="1" x14ac:dyDescent="0.2">
      <c r="C2" s="1" t="s">
        <v>62</v>
      </c>
      <c r="D2" s="1" t="s">
        <v>63</v>
      </c>
      <c r="E2" s="1" t="s">
        <v>68</v>
      </c>
      <c r="F2" s="1" t="s">
        <v>69</v>
      </c>
    </row>
    <row r="3" spans="2:6" ht="12.75" customHeight="1" x14ac:dyDescent="0.2">
      <c r="B3" s="3" t="s">
        <v>61</v>
      </c>
      <c r="C3" s="3">
        <v>935354</v>
      </c>
      <c r="D3" s="3">
        <v>1327409</v>
      </c>
    </row>
    <row r="4" spans="2:6" ht="12.75" customHeight="1" x14ac:dyDescent="0.2">
      <c r="B4" s="3"/>
      <c r="C4" s="3">
        <v>114690</v>
      </c>
      <c r="D4" s="3"/>
    </row>
    <row r="5" spans="2:6" ht="12.75" customHeight="1" x14ac:dyDescent="0.2">
      <c r="B5" s="3" t="s">
        <v>64</v>
      </c>
      <c r="C5" s="3">
        <v>559989</v>
      </c>
      <c r="D5" s="3">
        <v>751581</v>
      </c>
    </row>
    <row r="6" spans="2:6" ht="12.75" customHeight="1" x14ac:dyDescent="0.2">
      <c r="B6" s="3" t="s">
        <v>65</v>
      </c>
      <c r="C6" s="3">
        <v>463345</v>
      </c>
      <c r="D6" s="3">
        <v>579872</v>
      </c>
    </row>
    <row r="7" spans="2:6" ht="12.75" customHeight="1" x14ac:dyDescent="0.2">
      <c r="B7" s="3" t="s">
        <v>66</v>
      </c>
      <c r="C7" s="3">
        <v>267063</v>
      </c>
      <c r="D7" s="3">
        <v>758815</v>
      </c>
    </row>
    <row r="8" spans="2:6" ht="12.75" customHeight="1" x14ac:dyDescent="0.2">
      <c r="B8" s="3"/>
      <c r="C8" s="3">
        <v>48763</v>
      </c>
      <c r="D8" s="3"/>
    </row>
    <row r="9" spans="2:6" ht="12.75" customHeight="1" x14ac:dyDescent="0.2">
      <c r="B9" s="3" t="s">
        <v>67</v>
      </c>
      <c r="C9" s="3">
        <v>579956</v>
      </c>
      <c r="D9" s="3">
        <v>772733</v>
      </c>
    </row>
    <row r="10" spans="2:6" ht="14.4" customHeight="1" x14ac:dyDescent="0.2">
      <c r="B10" s="3" t="s">
        <v>18</v>
      </c>
      <c r="C10" s="3">
        <f>SUM(C3:C9)</f>
        <v>2969160</v>
      </c>
      <c r="D10" s="3">
        <f>SUM(D3:D9)</f>
        <v>4190410</v>
      </c>
    </row>
    <row r="21" spans="8:8" ht="12.75" customHeight="1" x14ac:dyDescent="0.2">
      <c r="H21" s="2"/>
    </row>
  </sheetData>
  <sheetProtection algorithmName="SHA-512" hashValue="pNQZB2tqEbxLZwAPnn81JlH7Mli0vR74iL4nwiUKJSHpxPXbVEtVYKTX8IFv08tl+73/a2VXB7iRXuSdt/K2Rg==" saltValue="dLSW+PmfsYCq8sjlsLTwww==" spinCount="100000" sheet="1" objects="1" scenarios="1"/>
  <pageMargins left="0.23622047244094491" right="0.23622047244094491" top="0.74803149606299213" bottom="0.74803149606299213" header="0.31496062992125984" footer="0.31496062992125984"/>
  <pageSetup paperSize="9" fitToWidth="0" fitToHeight="0" orientation="landscape" r:id="rId1"/>
  <headerFooter>
    <oddHeader xml:space="preserve">&amp;L&amp;G&amp;R&amp;18 </oddHeader>
    <oddFooter>&amp;C&amp;"Verdana,Regular"&amp;8&amp;P / &amp;K000000&amp;N</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3</vt:i4>
      </vt:variant>
    </vt:vector>
  </HeadingPairs>
  <TitlesOfParts>
    <vt:vector size="3" baseType="lpstr">
      <vt:lpstr>Samleark</vt:lpstr>
      <vt:lpstr>Kortversjon</vt:lpstr>
      <vt:lpstr>Mellomregninger</vt:lpstr>
    </vt:vector>
  </TitlesOfParts>
  <Company>NIRAS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Åsta Vaaland Veen (AVVE)</dc:creator>
  <cp:lastModifiedBy>Haabeth, Ingvar</cp:lastModifiedBy>
  <cp:lastPrinted>2018-05-22T19:09:00Z</cp:lastPrinted>
  <dcterms:created xsi:type="dcterms:W3CDTF">2011-12-22T06:15:14Z</dcterms:created>
  <dcterms:modified xsi:type="dcterms:W3CDTF">2018-05-22T19:16:32Z</dcterms:modified>
</cp:coreProperties>
</file>